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devaux\Documents\"/>
    </mc:Choice>
  </mc:AlternateContent>
  <bookViews>
    <workbookView xWindow="0" yWindow="0" windowWidth="28800" windowHeight="12300"/>
  </bookViews>
  <sheets>
    <sheet name="Vil5-14C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G4" i="1"/>
  <c r="O4" i="1"/>
  <c r="R4" i="1" s="1"/>
  <c r="P4" i="1"/>
  <c r="Q4" i="1"/>
  <c r="V4" i="1"/>
  <c r="W4" i="1"/>
  <c r="X4" i="1"/>
  <c r="Z4" i="1" s="1"/>
  <c r="Y4" i="1"/>
  <c r="AA4" i="1"/>
  <c r="AH4" i="1"/>
  <c r="E5" i="1"/>
  <c r="G5" i="1"/>
  <c r="O5" i="1"/>
  <c r="Q5" i="1" s="1"/>
  <c r="P5" i="1"/>
  <c r="AA5" i="1"/>
  <c r="AH5" i="1"/>
  <c r="E6" i="1"/>
  <c r="G6" i="1"/>
  <c r="O6" i="1"/>
  <c r="Q6" i="1" s="1"/>
  <c r="AV6" i="1" s="1"/>
  <c r="P6" i="1"/>
  <c r="S6" i="1"/>
  <c r="W6" i="1" s="1"/>
  <c r="V6" i="1"/>
  <c r="X6" i="1"/>
  <c r="Y6" i="1"/>
  <c r="Z6" i="1"/>
  <c r="AA6" i="1"/>
  <c r="AH6" i="1"/>
  <c r="AK6" i="1"/>
  <c r="AN6" i="1" s="1"/>
  <c r="AL6" i="1"/>
  <c r="AM6" i="1"/>
  <c r="AO6" i="1"/>
  <c r="AP6" i="1"/>
  <c r="AQ6" i="1" s="1"/>
  <c r="AR6" i="1" s="1"/>
  <c r="AT6" i="1"/>
  <c r="AU6" i="1"/>
  <c r="E7" i="1"/>
  <c r="G7" i="1"/>
  <c r="O7" i="1"/>
  <c r="P7" i="1"/>
  <c r="Q7" i="1"/>
  <c r="R7" i="1"/>
  <c r="S7" i="1"/>
  <c r="V7" i="1"/>
  <c r="W7" i="1"/>
  <c r="X7" i="1"/>
  <c r="Z7" i="1" s="1"/>
  <c r="Y7" i="1"/>
  <c r="AA7" i="1"/>
  <c r="AH7" i="1"/>
  <c r="AK7" i="1"/>
  <c r="AL7" i="1"/>
  <c r="AM7" i="1"/>
  <c r="AQ7" i="1" s="1"/>
  <c r="AR7" i="1" s="1"/>
  <c r="AN7" i="1"/>
  <c r="AO7" i="1"/>
  <c r="AP7" i="1"/>
  <c r="AT7" i="1"/>
  <c r="AU7" i="1"/>
  <c r="AV7" i="1"/>
  <c r="AW7" i="1"/>
  <c r="E8" i="1"/>
  <c r="G8" i="1"/>
  <c r="O8" i="1"/>
  <c r="Q8" i="1" s="1"/>
  <c r="AV8" i="1" s="1"/>
  <c r="P8" i="1"/>
  <c r="S8" i="1"/>
  <c r="W8" i="1" s="1"/>
  <c r="V8" i="1"/>
  <c r="X8" i="1"/>
  <c r="Y8" i="1"/>
  <c r="Z8" i="1"/>
  <c r="AA8" i="1"/>
  <c r="AH8" i="1"/>
  <c r="AK8" i="1"/>
  <c r="AN8" i="1" s="1"/>
  <c r="AL8" i="1"/>
  <c r="AM8" i="1"/>
  <c r="AO8" i="1"/>
  <c r="AP8" i="1"/>
  <c r="AQ8" i="1" s="1"/>
  <c r="AR8" i="1" s="1"/>
  <c r="AT8" i="1"/>
  <c r="AU8" i="1"/>
  <c r="E9" i="1"/>
  <c r="G9" i="1"/>
  <c r="O9" i="1"/>
  <c r="P9" i="1"/>
  <c r="Q9" i="1"/>
  <c r="R9" i="1"/>
  <c r="AW9" i="1" s="1"/>
  <c r="S9" i="1"/>
  <c r="V9" i="1"/>
  <c r="W9" i="1"/>
  <c r="X9" i="1"/>
  <c r="Z9" i="1" s="1"/>
  <c r="Y9" i="1"/>
  <c r="AA9" i="1"/>
  <c r="AH9" i="1"/>
  <c r="AK9" i="1"/>
  <c r="AL9" i="1"/>
  <c r="AM9" i="1"/>
  <c r="AQ9" i="1" s="1"/>
  <c r="AR9" i="1" s="1"/>
  <c r="AN9" i="1"/>
  <c r="AO9" i="1"/>
  <c r="AP9" i="1"/>
  <c r="AT9" i="1"/>
  <c r="AU9" i="1"/>
  <c r="AV9" i="1"/>
  <c r="E10" i="1"/>
  <c r="G10" i="1"/>
  <c r="O10" i="1"/>
  <c r="Q10" i="1" s="1"/>
  <c r="AV10" i="1" s="1"/>
  <c r="P10" i="1"/>
  <c r="S10" i="1"/>
  <c r="W10" i="1" s="1"/>
  <c r="V10" i="1"/>
  <c r="X10" i="1"/>
  <c r="Y10" i="1"/>
  <c r="Z10" i="1"/>
  <c r="AA10" i="1"/>
  <c r="AH10" i="1"/>
  <c r="AK10" i="1"/>
  <c r="AN10" i="1" s="1"/>
  <c r="AL10" i="1"/>
  <c r="AM10" i="1"/>
  <c r="AO10" i="1"/>
  <c r="AP10" i="1"/>
  <c r="AQ10" i="1" s="1"/>
  <c r="AR10" i="1" s="1"/>
  <c r="AT10" i="1"/>
  <c r="AU10" i="1"/>
  <c r="E11" i="1"/>
  <c r="G11" i="1"/>
  <c r="O11" i="1"/>
  <c r="P11" i="1"/>
  <c r="Q11" i="1"/>
  <c r="R11" i="1"/>
  <c r="AW11" i="1" s="1"/>
  <c r="S11" i="1"/>
  <c r="V11" i="1"/>
  <c r="W11" i="1"/>
  <c r="X11" i="1"/>
  <c r="Z11" i="1" s="1"/>
  <c r="Y11" i="1"/>
  <c r="AA11" i="1"/>
  <c r="AH11" i="1"/>
  <c r="AK11" i="1"/>
  <c r="AL11" i="1"/>
  <c r="AM11" i="1"/>
  <c r="AQ11" i="1" s="1"/>
  <c r="AR11" i="1" s="1"/>
  <c r="AN11" i="1"/>
  <c r="AO11" i="1"/>
  <c r="AP11" i="1"/>
  <c r="AT11" i="1"/>
  <c r="AU11" i="1"/>
  <c r="AV11" i="1"/>
  <c r="AN13" i="1" l="1"/>
  <c r="R10" i="1"/>
  <c r="AW10" i="1" s="1"/>
  <c r="R8" i="1"/>
  <c r="AW8" i="1" s="1"/>
  <c r="R6" i="1"/>
  <c r="AW6" i="1" s="1"/>
  <c r="R5" i="1"/>
</calcChain>
</file>

<file path=xl/sharedStrings.xml><?xml version="1.0" encoding="utf-8"?>
<sst xmlns="http://schemas.openxmlformats.org/spreadsheetml/2006/main" count="88" uniqueCount="68">
  <si>
    <t>PA 625</t>
  </si>
  <si>
    <t>Vil5 14C-G</t>
  </si>
  <si>
    <t>PA 624</t>
  </si>
  <si>
    <t>Vil5 14C-F</t>
  </si>
  <si>
    <t>PA 621</t>
  </si>
  <si>
    <t>Vil5 14C-E</t>
  </si>
  <si>
    <t>PA 623</t>
  </si>
  <si>
    <t>Vil5 14C-D</t>
  </si>
  <si>
    <t>PA 620</t>
  </si>
  <si>
    <t>Vil5 14C-C</t>
  </si>
  <si>
    <t>PA 619</t>
  </si>
  <si>
    <t>Vil5 14C-B</t>
  </si>
  <si>
    <t>PA 622</t>
  </si>
  <si>
    <t>Vil5 14C-A</t>
  </si>
  <si>
    <t>PA 322</t>
  </si>
  <si>
    <t>Vil5 14C-top</t>
  </si>
  <si>
    <t>cal. Yr / 2000</t>
  </si>
  <si>
    <t>yr</t>
  </si>
  <si>
    <t>cal. Yr AD/(-)BC</t>
  </si>
  <si>
    <t>cal. Yr AD/BC</t>
  </si>
  <si>
    <t>yr BP</t>
  </si>
  <si>
    <t>pMC</t>
  </si>
  <si>
    <t>(no normalized)</t>
  </si>
  <si>
    <t>(normalized)</t>
  </si>
  <si>
    <t>ET ERREUR DCP:</t>
  </si>
  <si>
    <t>corrected ages</t>
  </si>
  <si>
    <t>±</t>
  </si>
  <si>
    <t>age</t>
  </si>
  <si>
    <t xml:space="preserve"> activity</t>
  </si>
  <si>
    <t>%</t>
  </si>
  <si>
    <t>‰ PDB</t>
  </si>
  <si>
    <t>pmc</t>
  </si>
  <si>
    <t>activity, pmc</t>
  </si>
  <si>
    <t>activity, pMC</t>
  </si>
  <si>
    <t>mg</t>
  </si>
  <si>
    <t>error</t>
  </si>
  <si>
    <t>Conv. Dcp corr. 14C age</t>
  </si>
  <si>
    <t>U/Th age /1950</t>
  </si>
  <si>
    <t>gradient</t>
  </si>
  <si>
    <t>error on dcp, pMC</t>
  </si>
  <si>
    <t>error on A 14C m init. pMC</t>
  </si>
  <si>
    <t xml:space="preserve">error </t>
  </si>
  <si>
    <t>14C Act. pMC</t>
  </si>
  <si>
    <t>dcp %</t>
  </si>
  <si>
    <t>A 14C m init. pMC</t>
  </si>
  <si>
    <t>error on Ai, from U/Th error and Stuiver curve pMC</t>
  </si>
  <si>
    <t>atm. A 14C act. from U/Th ages and calibration curve (Stuiver and Reimer, 93), pMC</t>
  </si>
  <si>
    <t>D14C error</t>
  </si>
  <si>
    <t>atm. D 14C act. from U/Th ages and calibration curve (Stuiver and Reimer, 93)</t>
  </si>
  <si>
    <t>U/Th ages cal. A.D./B.C.</t>
  </si>
  <si>
    <t>CALCUL DCP</t>
  </si>
  <si>
    <t>U/Th age years/2000</t>
  </si>
  <si>
    <t>cm/base</t>
  </si>
  <si>
    <t>total error</t>
  </si>
  <si>
    <t>error-</t>
  </si>
  <si>
    <t>error+</t>
  </si>
  <si>
    <t xml:space="preserve">calibrated and </t>
  </si>
  <si>
    <t>dcp corrected</t>
  </si>
  <si>
    <t>dcp</t>
  </si>
  <si>
    <t xml:space="preserve">Error  </t>
  </si>
  <si>
    <r>
      <t>d</t>
    </r>
    <r>
      <rPr>
        <b/>
        <vertAlign val="superscript"/>
        <sz val="8"/>
        <rFont val="Arial"/>
        <family val="2"/>
      </rPr>
      <t>18</t>
    </r>
    <r>
      <rPr>
        <b/>
        <sz val="8"/>
        <rFont val="Arial"/>
        <family val="2"/>
      </rPr>
      <t xml:space="preserve">O </t>
    </r>
  </si>
  <si>
    <r>
      <t>d</t>
    </r>
    <r>
      <rPr>
        <b/>
        <vertAlign val="superscript"/>
        <sz val="8"/>
        <rFont val="Arial"/>
        <family val="2"/>
      </rPr>
      <t>13</t>
    </r>
    <r>
      <rPr>
        <b/>
        <sz val="8"/>
        <rFont val="Arial"/>
        <family val="2"/>
      </rPr>
      <t xml:space="preserve">C </t>
    </r>
  </si>
  <si>
    <t xml:space="preserve">Error </t>
  </si>
  <si>
    <r>
      <t xml:space="preserve">Mesured </t>
    </r>
    <r>
      <rPr>
        <b/>
        <vertAlign val="superscript"/>
        <sz val="8"/>
        <rFont val="Arial"/>
        <family val="2"/>
      </rPr>
      <t>14</t>
    </r>
    <r>
      <rPr>
        <b/>
        <sz val="8"/>
        <rFont val="Arial"/>
        <family val="2"/>
      </rPr>
      <t xml:space="preserve">C </t>
    </r>
  </si>
  <si>
    <t>mm/top</t>
  </si>
  <si>
    <t>Quantities</t>
  </si>
  <si>
    <t>Lab. number</t>
  </si>
  <si>
    <t>Sample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</si>
</sst>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8"/>
      <name val="MS Sans Serif"/>
    </font>
    <font>
      <sz val="8"/>
      <name val="MS Sans Serif"/>
      <family val="2"/>
    </font>
    <font>
      <sz val="8"/>
      <name val="MS Sans Serif"/>
    </font>
    <font>
      <sz val="8"/>
      <name val="Arial"/>
    </font>
    <font>
      <i/>
      <sz val="8"/>
      <name val="Arial"/>
      <family val="2"/>
    </font>
    <font>
      <b/>
      <sz val="8"/>
      <name val="Arial"/>
    </font>
    <font>
      <b/>
      <sz val="8"/>
      <color indexed="10"/>
      <name val="MS Sans Serif"/>
    </font>
    <font>
      <sz val="8"/>
      <color indexed="10"/>
      <name val="MS Sans Serif"/>
      <family val="2"/>
    </font>
    <font>
      <sz val="8"/>
      <color indexed="10"/>
      <name val="Arial"/>
    </font>
    <font>
      <sz val="8"/>
      <color indexed="10"/>
      <name val="MS Sans Serif"/>
    </font>
    <font>
      <b/>
      <sz val="8"/>
      <color indexed="10"/>
      <name val="MS Sans Serif"/>
      <family val="2"/>
    </font>
    <font>
      <b/>
      <sz val="8"/>
      <name val="MS Sans Serif"/>
      <family val="2"/>
    </font>
    <font>
      <b/>
      <sz val="8"/>
      <name val="Symbol"/>
      <family val="1"/>
      <charset val="2"/>
    </font>
    <font>
      <b/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center"/>
    </xf>
    <xf numFmtId="164" fontId="4" fillId="0" borderId="0" xfId="0" applyNumberFormat="1" applyFont="1"/>
    <xf numFmtId="2" fontId="6" fillId="0" borderId="0" xfId="0" applyNumberFormat="1" applyFont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2" fontId="10" fillId="0" borderId="0" xfId="0" applyNumberFormat="1" applyFont="1" applyAlignment="1">
      <alignment horizontal="center"/>
    </xf>
    <xf numFmtId="2" fontId="11" fillId="0" borderId="0" xfId="0" applyNumberFormat="1" applyFont="1" applyAlignment="1">
      <alignment horizontal="left"/>
    </xf>
    <xf numFmtId="164" fontId="12" fillId="0" borderId="0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164" fontId="14" fillId="0" borderId="0" xfId="0" applyNumberFormat="1" applyFont="1"/>
    <xf numFmtId="2" fontId="11" fillId="0" borderId="0" xfId="0" applyNumberFormat="1" applyFont="1"/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2" fontId="4" fillId="0" borderId="0" xfId="0" applyNumberFormat="1" applyFont="1" applyAlignment="1">
      <alignment horizontal="left"/>
    </xf>
    <xf numFmtId="2" fontId="6" fillId="0" borderId="0" xfId="0" applyNumberFormat="1" applyFont="1" applyAlignment="1">
      <alignment horizontal="left"/>
    </xf>
    <xf numFmtId="0" fontId="4" fillId="0" borderId="0" xfId="0" applyFont="1"/>
    <xf numFmtId="164" fontId="4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15" fillId="0" borderId="0" xfId="0" applyFont="1"/>
    <xf numFmtId="164" fontId="16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6"/>
  <sheetViews>
    <sheetView tabSelected="1" topLeftCell="AD1" workbookViewId="0">
      <selection activeCell="AQ6" sqref="AQ6"/>
    </sheetView>
  </sheetViews>
  <sheetFormatPr baseColWidth="10" defaultRowHeight="12.75" x14ac:dyDescent="0.2"/>
  <cols>
    <col min="1" max="1" width="8.7109375" customWidth="1"/>
    <col min="2" max="2" width="9.7109375" customWidth="1"/>
    <col min="3" max="3" width="7.85546875" customWidth="1"/>
    <col min="4" max="4" width="6.140625" customWidth="1"/>
    <col min="5" max="5" width="8.42578125" customWidth="1"/>
    <col min="6" max="6" width="9.7109375" customWidth="1"/>
    <col min="7" max="7" width="11.85546875" bestFit="1" customWidth="1"/>
    <col min="8" max="8" width="4.7109375" customWidth="1"/>
    <col min="9" max="12" width="5.5703125" customWidth="1"/>
    <col min="13" max="13" width="3.28515625" customWidth="1"/>
    <col min="14" max="14" width="4.28515625" customWidth="1"/>
    <col min="15" max="15" width="10.42578125" customWidth="1"/>
    <col min="16" max="16" width="4.28515625" customWidth="1"/>
    <col min="17" max="17" width="10.42578125" customWidth="1"/>
    <col min="18" max="18" width="4.28515625" customWidth="1"/>
    <col min="22" max="22" width="7.7109375" customWidth="1"/>
    <col min="24" max="25" width="9.7109375" customWidth="1"/>
    <col min="27" max="27" width="8.42578125" customWidth="1"/>
    <col min="28" max="28" width="17.85546875" customWidth="1"/>
    <col min="29" max="29" width="5.5703125" customWidth="1"/>
    <col min="30" max="30" width="3" customWidth="1"/>
    <col min="31" max="31" width="6.140625" customWidth="1"/>
    <col min="32" max="32" width="5.140625" customWidth="1"/>
    <col min="33" max="33" width="15.85546875" customWidth="1"/>
    <col min="34" max="34" width="20.28515625" customWidth="1"/>
    <col min="39" max="39" width="13.42578125" customWidth="1"/>
    <col min="42" max="42" width="7.140625" customWidth="1"/>
    <col min="45" max="45" width="6.7109375" customWidth="1"/>
    <col min="46" max="46" width="13.85546875" customWidth="1"/>
    <col min="47" max="47" width="9.28515625" customWidth="1"/>
    <col min="48" max="48" width="19.5703125" customWidth="1"/>
  </cols>
  <sheetData>
    <row r="1" spans="1:49" s="25" customFormat="1" ht="11.25" x14ac:dyDescent="0.2">
      <c r="A1" s="36" t="s">
        <v>67</v>
      </c>
      <c r="B1" s="36" t="s">
        <v>66</v>
      </c>
      <c r="C1" s="6" t="s">
        <v>65</v>
      </c>
      <c r="D1" s="6" t="s">
        <v>64</v>
      </c>
      <c r="E1" s="6" t="s">
        <v>52</v>
      </c>
      <c r="F1" s="6" t="s">
        <v>63</v>
      </c>
      <c r="G1" s="6" t="s">
        <v>63</v>
      </c>
      <c r="H1" s="6" t="s">
        <v>62</v>
      </c>
      <c r="I1" s="47" t="s">
        <v>61</v>
      </c>
      <c r="J1" s="36" t="s">
        <v>59</v>
      </c>
      <c r="K1" s="47" t="s">
        <v>60</v>
      </c>
      <c r="L1" s="6" t="s">
        <v>59</v>
      </c>
      <c r="M1" s="36" t="s">
        <v>58</v>
      </c>
      <c r="N1" s="6" t="s">
        <v>35</v>
      </c>
      <c r="O1" s="35" t="s">
        <v>57</v>
      </c>
      <c r="P1" s="6" t="s">
        <v>35</v>
      </c>
      <c r="Q1" s="6" t="s">
        <v>57</v>
      </c>
      <c r="R1" s="36" t="s">
        <v>35</v>
      </c>
      <c r="S1" s="26" t="s">
        <v>56</v>
      </c>
      <c r="T1" s="14" t="s">
        <v>55</v>
      </c>
      <c r="U1" s="14" t="s">
        <v>54</v>
      </c>
      <c r="V1" s="14" t="s">
        <v>53</v>
      </c>
      <c r="W1" s="26" t="s">
        <v>56</v>
      </c>
      <c r="X1" s="14" t="s">
        <v>55</v>
      </c>
      <c r="Y1" s="14" t="s">
        <v>54</v>
      </c>
      <c r="Z1" s="35" t="s">
        <v>53</v>
      </c>
      <c r="AA1" s="6" t="s">
        <v>52</v>
      </c>
      <c r="AB1" s="6" t="s">
        <v>51</v>
      </c>
      <c r="AC1" s="6" t="s">
        <v>35</v>
      </c>
      <c r="AD1" s="6"/>
      <c r="AE1" s="6"/>
      <c r="AF1" s="6"/>
      <c r="AG1" s="46" t="s">
        <v>50</v>
      </c>
      <c r="AH1" s="42" t="s">
        <v>49</v>
      </c>
      <c r="AI1" s="44" t="s">
        <v>48</v>
      </c>
      <c r="AJ1" s="45" t="s">
        <v>47</v>
      </c>
      <c r="AK1" s="44" t="s">
        <v>46</v>
      </c>
      <c r="AL1" s="44" t="s">
        <v>45</v>
      </c>
      <c r="AM1" s="44" t="s">
        <v>44</v>
      </c>
      <c r="AN1" s="43" t="s">
        <v>43</v>
      </c>
      <c r="AO1" s="42" t="s">
        <v>42</v>
      </c>
      <c r="AP1" s="42" t="s">
        <v>41</v>
      </c>
      <c r="AQ1" s="41" t="s">
        <v>40</v>
      </c>
      <c r="AR1" s="40" t="s">
        <v>39</v>
      </c>
      <c r="AS1" s="26" t="s">
        <v>38</v>
      </c>
      <c r="AT1" s="36" t="s">
        <v>37</v>
      </c>
      <c r="AU1" s="25" t="s">
        <v>35</v>
      </c>
      <c r="AV1" s="25" t="s">
        <v>36</v>
      </c>
      <c r="AW1" s="25" t="s">
        <v>35</v>
      </c>
    </row>
    <row r="2" spans="1:49" s="25" customFormat="1" ht="11.25" x14ac:dyDescent="0.2">
      <c r="A2" s="36"/>
      <c r="B2" s="36"/>
      <c r="C2" s="6" t="s">
        <v>34</v>
      </c>
      <c r="D2" s="6"/>
      <c r="E2" s="6"/>
      <c r="F2" s="6" t="s">
        <v>33</v>
      </c>
      <c r="G2" s="6" t="s">
        <v>32</v>
      </c>
      <c r="H2" s="6" t="s">
        <v>31</v>
      </c>
      <c r="I2" s="6" t="s">
        <v>30</v>
      </c>
      <c r="J2" s="36" t="s">
        <v>30</v>
      </c>
      <c r="K2" s="6" t="s">
        <v>30</v>
      </c>
      <c r="L2" s="6" t="s">
        <v>30</v>
      </c>
      <c r="M2" s="36" t="s">
        <v>29</v>
      </c>
      <c r="N2" s="6"/>
      <c r="O2" s="25" t="s">
        <v>28</v>
      </c>
      <c r="P2" s="6"/>
      <c r="Q2" s="6" t="s">
        <v>27</v>
      </c>
      <c r="R2" s="36"/>
      <c r="S2" s="26" t="s">
        <v>25</v>
      </c>
      <c r="T2" s="6"/>
      <c r="U2" s="6"/>
      <c r="V2" s="6" t="s">
        <v>26</v>
      </c>
      <c r="W2" s="26" t="s">
        <v>25</v>
      </c>
      <c r="X2" s="35"/>
      <c r="Y2" s="36"/>
      <c r="Z2" s="35"/>
      <c r="AA2" s="6"/>
      <c r="AB2" s="6"/>
      <c r="AC2" s="6"/>
      <c r="AD2" s="6"/>
      <c r="AE2" s="6"/>
      <c r="AF2" s="6"/>
      <c r="AG2" s="39" t="s">
        <v>24</v>
      </c>
      <c r="AH2" s="34"/>
      <c r="AI2" s="12"/>
      <c r="AJ2" s="12"/>
      <c r="AK2" s="34"/>
      <c r="AL2" s="34"/>
      <c r="AM2" s="34"/>
      <c r="AN2" s="38"/>
      <c r="AO2" s="12"/>
      <c r="AP2" s="18"/>
      <c r="AQ2" s="11"/>
      <c r="AR2" s="34"/>
      <c r="AS2" s="26"/>
      <c r="AT2" s="37"/>
    </row>
    <row r="3" spans="1:49" s="25" customFormat="1" ht="11.25" x14ac:dyDescent="0.2">
      <c r="A3" s="36"/>
      <c r="B3" s="36"/>
      <c r="C3" s="6"/>
      <c r="D3" s="6"/>
      <c r="E3" s="6"/>
      <c r="F3" s="6" t="s">
        <v>23</v>
      </c>
      <c r="G3" s="6" t="s">
        <v>22</v>
      </c>
      <c r="H3" s="6"/>
      <c r="I3" s="36"/>
      <c r="J3" s="36"/>
      <c r="K3" s="6"/>
      <c r="L3" s="6"/>
      <c r="M3" s="36"/>
      <c r="N3" s="6"/>
      <c r="O3" s="35" t="s">
        <v>21</v>
      </c>
      <c r="P3" s="6"/>
      <c r="Q3" s="6" t="s">
        <v>20</v>
      </c>
      <c r="R3" s="36"/>
      <c r="S3" s="26" t="s">
        <v>19</v>
      </c>
      <c r="T3" s="26" t="s">
        <v>18</v>
      </c>
      <c r="U3" s="26" t="s">
        <v>18</v>
      </c>
      <c r="V3" s="26" t="s">
        <v>17</v>
      </c>
      <c r="W3" s="26" t="s">
        <v>16</v>
      </c>
      <c r="X3" s="26" t="s">
        <v>16</v>
      </c>
      <c r="Y3" s="26" t="s">
        <v>16</v>
      </c>
      <c r="Z3" s="35"/>
      <c r="AA3" s="6"/>
      <c r="AB3" s="6"/>
      <c r="AC3" s="6"/>
      <c r="AD3" s="6"/>
      <c r="AE3" s="6"/>
      <c r="AF3" s="6"/>
      <c r="AG3" s="12"/>
      <c r="AH3" s="34"/>
      <c r="AI3" s="33"/>
      <c r="AJ3" s="33"/>
      <c r="AK3" s="12"/>
      <c r="AL3" s="33"/>
      <c r="AM3" s="32"/>
      <c r="AN3" s="31"/>
      <c r="AO3" s="30"/>
      <c r="AP3" s="29"/>
      <c r="AQ3" s="28"/>
      <c r="AR3" s="27"/>
      <c r="AS3" s="26"/>
      <c r="AT3" s="18"/>
    </row>
    <row r="4" spans="1:49" s="3" customFormat="1" ht="11.25" x14ac:dyDescent="0.2">
      <c r="A4" s="23" t="s">
        <v>15</v>
      </c>
      <c r="B4" s="23" t="s">
        <v>14</v>
      </c>
      <c r="C4" s="22">
        <v>59.9</v>
      </c>
      <c r="D4" s="22">
        <v>0</v>
      </c>
      <c r="E4" s="1">
        <f>(233-D4)/10</f>
        <v>23.3</v>
      </c>
      <c r="F4" s="22">
        <v>91.12</v>
      </c>
      <c r="G4" s="22">
        <f>F4/(1+2*(-25/1000-I4/1000)/(1+I4/1000))</f>
        <v>92.694203693167125</v>
      </c>
      <c r="H4" s="22">
        <v>0.6</v>
      </c>
      <c r="I4" s="24">
        <v>-16.649999999999999</v>
      </c>
      <c r="J4" s="22">
        <v>0.1</v>
      </c>
      <c r="K4" s="24">
        <v>-4.2</v>
      </c>
      <c r="L4" s="22">
        <v>0.1</v>
      </c>
      <c r="M4" s="23">
        <v>9.5</v>
      </c>
      <c r="N4" s="22">
        <v>1.5</v>
      </c>
      <c r="O4" s="22">
        <f>F4/((100-M4)/100)</f>
        <v>100.68508287292818</v>
      </c>
      <c r="P4" s="22">
        <f>H4+N4</f>
        <v>2.1</v>
      </c>
      <c r="Q4" s="20">
        <f>8033*LN(O4/100)</f>
        <v>54.845053922659815</v>
      </c>
      <c r="R4" s="20">
        <f>(8033*LN((O4+P4)/100)-8033*LN((O4-P4)/100))/2</f>
        <v>167.56947815068816</v>
      </c>
      <c r="S4" s="22">
        <v>1993</v>
      </c>
      <c r="T4" s="21">
        <v>1991</v>
      </c>
      <c r="U4" s="21">
        <v>1993</v>
      </c>
      <c r="V4" s="21">
        <f>ABS(T4-U4)/2</f>
        <v>1</v>
      </c>
      <c r="W4" s="20">
        <f>2000-S4</f>
        <v>7</v>
      </c>
      <c r="X4" s="20">
        <f>2000-T4</f>
        <v>9</v>
      </c>
      <c r="Y4" s="20">
        <f>2000-U4</f>
        <v>7</v>
      </c>
      <c r="Z4" s="1">
        <f>ABS(X4-Y4)/2</f>
        <v>1</v>
      </c>
      <c r="AA4" s="1">
        <f>E4</f>
        <v>23.3</v>
      </c>
      <c r="AB4" s="14">
        <v>0</v>
      </c>
      <c r="AC4" s="1">
        <v>1</v>
      </c>
      <c r="AD4" s="1"/>
      <c r="AE4" s="1"/>
      <c r="AF4" s="1"/>
      <c r="AG4" s="12"/>
      <c r="AH4" s="6">
        <f>2000-AB4</f>
        <v>2000</v>
      </c>
      <c r="AI4" s="19"/>
      <c r="AJ4" s="19"/>
      <c r="AK4" s="12"/>
      <c r="AL4" s="12"/>
      <c r="AM4" s="11"/>
      <c r="AN4" s="10"/>
      <c r="AO4" s="9"/>
      <c r="AP4" s="9"/>
      <c r="AQ4" s="8"/>
      <c r="AR4" s="7"/>
      <c r="AS4" s="17"/>
      <c r="AT4" s="18"/>
    </row>
    <row r="5" spans="1:49" s="1" customFormat="1" ht="11.25" x14ac:dyDescent="0.2">
      <c r="A5" s="1" t="s">
        <v>13</v>
      </c>
      <c r="B5" s="1" t="s">
        <v>12</v>
      </c>
      <c r="C5" s="1">
        <v>16.7</v>
      </c>
      <c r="D5" s="1">
        <v>8</v>
      </c>
      <c r="E5" s="1">
        <f>(233-D5)/10</f>
        <v>22.5</v>
      </c>
      <c r="F5" s="1">
        <v>104.29</v>
      </c>
      <c r="G5" s="17">
        <f>F5/(1+2*(-25/1000-I5/1000)/(1+I5/1000))</f>
        <v>107.71690129686002</v>
      </c>
      <c r="H5" s="1">
        <v>0.9</v>
      </c>
      <c r="I5" s="1">
        <v>-9.24</v>
      </c>
      <c r="J5" s="17">
        <v>0.1</v>
      </c>
      <c r="K5" s="3">
        <v>-5.22</v>
      </c>
      <c r="L5" s="17">
        <v>0.1</v>
      </c>
      <c r="M5" s="3">
        <v>9.5</v>
      </c>
      <c r="N5" s="17">
        <v>1.5</v>
      </c>
      <c r="O5" s="17">
        <f>F5/((100-M5)/100)</f>
        <v>115.23756906077348</v>
      </c>
      <c r="P5" s="17">
        <f>H5+N5</f>
        <v>2.4</v>
      </c>
      <c r="Q5" s="15">
        <f>8033*LN(O5/100)</f>
        <v>1139.2852811890268</v>
      </c>
      <c r="R5" s="15">
        <f>(8033*LN((O5+P5)/100)-8033*LN((O5-P5)/100))/2</f>
        <v>167.32380160866131</v>
      </c>
      <c r="V5" s="3"/>
      <c r="W5" s="4"/>
      <c r="X5" s="4"/>
      <c r="Y5" s="4"/>
      <c r="AA5" s="1">
        <f>E5</f>
        <v>22.5</v>
      </c>
      <c r="AB5" s="14">
        <v>22</v>
      </c>
      <c r="AC5" s="1">
        <v>10</v>
      </c>
      <c r="AH5" s="6">
        <f>2000-AB5</f>
        <v>1978</v>
      </c>
      <c r="AT5" s="18"/>
    </row>
    <row r="6" spans="1:49" s="1" customFormat="1" x14ac:dyDescent="0.2">
      <c r="A6" s="1" t="s">
        <v>11</v>
      </c>
      <c r="B6" s="1" t="s">
        <v>10</v>
      </c>
      <c r="C6" s="1">
        <v>22.2</v>
      </c>
      <c r="D6" s="1">
        <v>12</v>
      </c>
      <c r="E6" s="1">
        <f>(233-D6)/10</f>
        <v>22.1</v>
      </c>
      <c r="F6" s="1">
        <v>45.21</v>
      </c>
      <c r="G6" s="17">
        <f>F6/(1+2*(-25/1000-I6/1000)/(1+I6/1000))</f>
        <v>46.543483966986877</v>
      </c>
      <c r="H6" s="1">
        <v>0.56000000000000005</v>
      </c>
      <c r="I6" s="1">
        <v>-10.83</v>
      </c>
      <c r="J6" s="17">
        <v>0.1</v>
      </c>
      <c r="K6" s="3">
        <v>-4.47</v>
      </c>
      <c r="L6" s="17">
        <v>0.1</v>
      </c>
      <c r="M6" s="3">
        <v>9.5</v>
      </c>
      <c r="N6" s="17">
        <v>1.5</v>
      </c>
      <c r="O6" s="17">
        <f>F6/((100-M6)/100)</f>
        <v>49.955801104972373</v>
      </c>
      <c r="P6" s="17">
        <f>H6+N6</f>
        <v>2.06</v>
      </c>
      <c r="Q6" s="15">
        <f>8033*LN(O6/100)</f>
        <v>-5575.1554363251116</v>
      </c>
      <c r="R6" s="15">
        <f>(8033*LN((O6+P6)/100)-8033*LN((O6-P6)/100))/2</f>
        <v>331.44037045419373</v>
      </c>
      <c r="S6" s="1">
        <f>(T6+U6)/2</f>
        <v>-4400</v>
      </c>
      <c r="T6" s="1">
        <v>-4800</v>
      </c>
      <c r="U6" s="1">
        <v>-4000</v>
      </c>
      <c r="V6" s="16">
        <f>ABS(T6-U6)/2</f>
        <v>400</v>
      </c>
      <c r="W6" s="15">
        <f>2000-S6</f>
        <v>6400</v>
      </c>
      <c r="X6" s="15">
        <f>2000-T6</f>
        <v>6800</v>
      </c>
      <c r="Y6" s="15">
        <f>2000-U6</f>
        <v>6000</v>
      </c>
      <c r="Z6" s="1">
        <f>ABS(X6-Y6)/2</f>
        <v>400</v>
      </c>
      <c r="AA6" s="1">
        <f>E6</f>
        <v>22.1</v>
      </c>
      <c r="AB6" s="14">
        <v>5153</v>
      </c>
      <c r="AC6" s="1">
        <v>240</v>
      </c>
      <c r="AH6" s="6">
        <f>2000-AB6</f>
        <v>-3153</v>
      </c>
      <c r="AI6" s="13">
        <v>57</v>
      </c>
      <c r="AJ6" s="13">
        <v>1.9</v>
      </c>
      <c r="AK6" s="12">
        <f>(AI6)/10+100</f>
        <v>105.7</v>
      </c>
      <c r="AL6" s="12">
        <f>AJ6/10</f>
        <v>0.19</v>
      </c>
      <c r="AM6" s="11">
        <f>F6/EXP(-(LN(2)/5730)*(AB6))</f>
        <v>84.324031152246846</v>
      </c>
      <c r="AN6" s="10">
        <f>(1-(AM6/AK6))*100</f>
        <v>20.223243943002046</v>
      </c>
      <c r="AO6" s="9">
        <f>F6</f>
        <v>45.21</v>
      </c>
      <c r="AP6" s="9">
        <f>H6</f>
        <v>0.56000000000000005</v>
      </c>
      <c r="AQ6" s="8">
        <f>AM6*(AP6/AO6+AC6/AB6)</f>
        <v>4.9718672236283066</v>
      </c>
      <c r="AR6" s="7">
        <f>AQ6+AL6</f>
        <v>5.161867223628307</v>
      </c>
      <c r="AT6" s="6">
        <f>AB6-50</f>
        <v>5103</v>
      </c>
      <c r="AU6" s="1">
        <f>AC6</f>
        <v>240</v>
      </c>
      <c r="AV6" s="5">
        <f>-Q6</f>
        <v>5575.1554363251116</v>
      </c>
      <c r="AW6" s="4">
        <f>R6</f>
        <v>331.44037045419373</v>
      </c>
    </row>
    <row r="7" spans="1:49" s="1" customFormat="1" x14ac:dyDescent="0.2">
      <c r="A7" s="1" t="s">
        <v>9</v>
      </c>
      <c r="B7" s="1" t="s">
        <v>8</v>
      </c>
      <c r="C7" s="1">
        <v>21.4</v>
      </c>
      <c r="D7" s="1">
        <v>60</v>
      </c>
      <c r="E7" s="1">
        <f>(233-D7)/10</f>
        <v>17.3</v>
      </c>
      <c r="F7" s="1">
        <v>42.01</v>
      </c>
      <c r="G7" s="17">
        <f>F7/(1+2*(-25/1000-I7/1000)/(1+I7/1000))</f>
        <v>43.320145932939596</v>
      </c>
      <c r="H7" s="1">
        <v>0.48</v>
      </c>
      <c r="I7" s="1">
        <v>-10.029999999999999</v>
      </c>
      <c r="J7" s="17">
        <v>0.1</v>
      </c>
      <c r="K7" s="3">
        <v>-4.6399999999999997</v>
      </c>
      <c r="L7" s="17">
        <v>0.1</v>
      </c>
      <c r="M7" s="3">
        <v>9.5</v>
      </c>
      <c r="N7" s="17">
        <v>1.5</v>
      </c>
      <c r="O7" s="17">
        <f>F7/((100-M7)/100)</f>
        <v>46.41988950276243</v>
      </c>
      <c r="P7" s="17">
        <f>H7+N7</f>
        <v>1.98</v>
      </c>
      <c r="Q7" s="15">
        <f>8033*LN(O7/100)</f>
        <v>-6164.8629156590296</v>
      </c>
      <c r="R7" s="15">
        <f>(8033*LN((O7+P7)/100)-8033*LN((O7-P7)/100))/2</f>
        <v>342.84865041380954</v>
      </c>
      <c r="S7" s="1">
        <f>(T7+U7)/2</f>
        <v>-5075</v>
      </c>
      <c r="T7" s="1">
        <v>-5450</v>
      </c>
      <c r="U7" s="1">
        <v>-4700</v>
      </c>
      <c r="V7" s="16">
        <f>ABS(T7-U7)/2</f>
        <v>375</v>
      </c>
      <c r="W7" s="15">
        <f>2000-S7</f>
        <v>7075</v>
      </c>
      <c r="X7" s="15">
        <f>2000-T7</f>
        <v>7450</v>
      </c>
      <c r="Y7" s="15">
        <f>2000-U7</f>
        <v>6700</v>
      </c>
      <c r="Z7" s="1">
        <f>ABS(X7-Y7)/2</f>
        <v>375</v>
      </c>
      <c r="AA7" s="1">
        <f>E7</f>
        <v>17.3</v>
      </c>
      <c r="AB7" s="14">
        <v>6430</v>
      </c>
      <c r="AC7" s="1">
        <v>465</v>
      </c>
      <c r="AH7" s="6">
        <f>2000-AB7</f>
        <v>-4430</v>
      </c>
      <c r="AI7" s="13">
        <v>82.5</v>
      </c>
      <c r="AJ7" s="13">
        <v>2.5</v>
      </c>
      <c r="AK7" s="12">
        <f>(AI7)/10+100</f>
        <v>108.25</v>
      </c>
      <c r="AL7" s="12">
        <f>AJ7/10</f>
        <v>0.25</v>
      </c>
      <c r="AM7" s="11">
        <f>F7/EXP(-(LN(2)/5730)*(AB7))</f>
        <v>91.444527516033432</v>
      </c>
      <c r="AN7" s="10">
        <f>(1-(AM7/AK7))*100</f>
        <v>15.524685897428704</v>
      </c>
      <c r="AO7" s="9">
        <f>F7</f>
        <v>42.01</v>
      </c>
      <c r="AP7" s="9">
        <f>H7</f>
        <v>0.48</v>
      </c>
      <c r="AQ7" s="8">
        <f>AM7*(AP7/AO7+AC7/AB7)</f>
        <v>7.6578494758397087</v>
      </c>
      <c r="AR7" s="7">
        <f>AQ7+AL7</f>
        <v>7.9078494758397087</v>
      </c>
      <c r="AT7" s="6">
        <f>AB7-50</f>
        <v>6380</v>
      </c>
      <c r="AU7" s="1">
        <f>AC7</f>
        <v>465</v>
      </c>
      <c r="AV7" s="5">
        <f>-Q7</f>
        <v>6164.8629156590296</v>
      </c>
      <c r="AW7" s="4">
        <f>R7</f>
        <v>342.84865041380954</v>
      </c>
    </row>
    <row r="8" spans="1:49" s="1" customFormat="1" x14ac:dyDescent="0.2">
      <c r="A8" s="1" t="s">
        <v>7</v>
      </c>
      <c r="B8" s="1" t="s">
        <v>6</v>
      </c>
      <c r="C8" s="1">
        <v>16</v>
      </c>
      <c r="D8" s="1">
        <v>106</v>
      </c>
      <c r="E8" s="1">
        <f>(233-D8)/10</f>
        <v>12.7</v>
      </c>
      <c r="F8" s="1">
        <v>40.130000000000003</v>
      </c>
      <c r="G8" s="17">
        <f>F8/(1+2*(-25/1000-I8/1000)/(1+I8/1000))</f>
        <v>41.362840406144237</v>
      </c>
      <c r="H8" s="1">
        <v>0.45</v>
      </c>
      <c r="I8" s="1">
        <v>-10.25</v>
      </c>
      <c r="J8" s="17">
        <v>0.1</v>
      </c>
      <c r="K8" s="3">
        <v>-4.38</v>
      </c>
      <c r="L8" s="17">
        <v>0.1</v>
      </c>
      <c r="M8" s="3">
        <v>9.5</v>
      </c>
      <c r="N8" s="17">
        <v>1.5</v>
      </c>
      <c r="O8" s="17">
        <f>F8/((100-M8)/100)</f>
        <v>44.342541436464089</v>
      </c>
      <c r="P8" s="17">
        <f>H8+N8</f>
        <v>1.95</v>
      </c>
      <c r="Q8" s="15">
        <f>8033*LN(O8/100)</f>
        <v>-6532.6417784085334</v>
      </c>
      <c r="R8" s="15">
        <f>(8033*LN((O8+P8)/100)-8033*LN((O8-P8)/100))/2</f>
        <v>353.48581404510924</v>
      </c>
      <c r="S8" s="1">
        <f>(T8+U8)/2</f>
        <v>-5400</v>
      </c>
      <c r="T8" s="1">
        <v>-5750</v>
      </c>
      <c r="U8" s="1">
        <v>-5050</v>
      </c>
      <c r="V8" s="16">
        <f>ABS(T8-U8)/2</f>
        <v>350</v>
      </c>
      <c r="W8" s="15">
        <f>2000-S8</f>
        <v>7400</v>
      </c>
      <c r="X8" s="15">
        <f>2000-T8</f>
        <v>7750</v>
      </c>
      <c r="Y8" s="15">
        <f>2000-U8</f>
        <v>7050</v>
      </c>
      <c r="Z8" s="1">
        <f>ABS(X8-Y8)/2</f>
        <v>350</v>
      </c>
      <c r="AA8" s="1">
        <f>E8</f>
        <v>12.7</v>
      </c>
      <c r="AB8" s="14">
        <v>7680</v>
      </c>
      <c r="AC8" s="1">
        <v>465</v>
      </c>
      <c r="AH8" s="6">
        <f>2000-AB8</f>
        <v>-5680</v>
      </c>
      <c r="AI8" s="13">
        <v>80</v>
      </c>
      <c r="AJ8" s="13">
        <v>3</v>
      </c>
      <c r="AK8" s="12">
        <f>(AI8)/10+100</f>
        <v>108</v>
      </c>
      <c r="AL8" s="12">
        <f>AJ8/10</f>
        <v>0.3</v>
      </c>
      <c r="AM8" s="11">
        <f>F8/EXP(-(LN(2)/5730)*(AB8))</f>
        <v>101.61174702635056</v>
      </c>
      <c r="AN8" s="10">
        <f>(1-(AM8/AK8))*100</f>
        <v>5.9150490496754138</v>
      </c>
      <c r="AO8" s="9">
        <f>F8</f>
        <v>40.130000000000003</v>
      </c>
      <c r="AP8" s="9">
        <f>H8</f>
        <v>0.45</v>
      </c>
      <c r="AQ8" s="8">
        <f>AM8*(AP8/AO8+AC8/AB8)</f>
        <v>7.2917027555007783</v>
      </c>
      <c r="AR8" s="7">
        <f>AQ8+AL8</f>
        <v>7.5917027555007781</v>
      </c>
      <c r="AT8" s="6">
        <f>AB8-50</f>
        <v>7630</v>
      </c>
      <c r="AU8" s="1">
        <f>AC8</f>
        <v>465</v>
      </c>
      <c r="AV8" s="5">
        <f>-Q8</f>
        <v>6532.6417784085334</v>
      </c>
      <c r="AW8" s="4">
        <f>R8</f>
        <v>353.48581404510924</v>
      </c>
    </row>
    <row r="9" spans="1:49" s="1" customFormat="1" x14ac:dyDescent="0.2">
      <c r="A9" s="1" t="s">
        <v>5</v>
      </c>
      <c r="B9" s="1" t="s">
        <v>4</v>
      </c>
      <c r="C9" s="1">
        <v>18.3</v>
      </c>
      <c r="D9" s="1">
        <v>110</v>
      </c>
      <c r="E9" s="1">
        <f>(233-D9)/10</f>
        <v>12.3</v>
      </c>
      <c r="F9" s="1">
        <v>37.729999999999997</v>
      </c>
      <c r="G9" s="17">
        <f>F9/(1+2*(-25/1000-I9/1000)/(1+I9/1000))</f>
        <v>38.922636404363267</v>
      </c>
      <c r="H9" s="1">
        <v>0.41</v>
      </c>
      <c r="I9" s="1">
        <v>-9.83</v>
      </c>
      <c r="J9" s="17">
        <v>0.1</v>
      </c>
      <c r="K9" s="3">
        <v>-4.01</v>
      </c>
      <c r="L9" s="17">
        <v>0.1</v>
      </c>
      <c r="M9" s="3">
        <v>9.5</v>
      </c>
      <c r="N9" s="17">
        <v>1.5</v>
      </c>
      <c r="O9" s="17">
        <f>F9/((100-M9)/100)</f>
        <v>41.690607734806626</v>
      </c>
      <c r="P9" s="17">
        <f>H9+N9</f>
        <v>1.91</v>
      </c>
      <c r="Q9" s="15">
        <f>8033*LN(O9/100)</f>
        <v>-7028.0260462893693</v>
      </c>
      <c r="R9" s="15">
        <f>(8033*LN((O9+P9)/100)-8033*LN((O9-P9)/100))/2</f>
        <v>368.27906408234276</v>
      </c>
      <c r="S9" s="1">
        <f>(T9+U9)/2</f>
        <v>-5875</v>
      </c>
      <c r="T9" s="1">
        <v>-6250</v>
      </c>
      <c r="U9" s="1">
        <v>-5500</v>
      </c>
      <c r="V9" s="16">
        <f>ABS(T9-U9)/2</f>
        <v>375</v>
      </c>
      <c r="W9" s="15">
        <f>2000-S9</f>
        <v>7875</v>
      </c>
      <c r="X9" s="15">
        <f>2000-T9</f>
        <v>8250</v>
      </c>
      <c r="Y9" s="15">
        <f>2000-U9</f>
        <v>7500</v>
      </c>
      <c r="Z9" s="1">
        <f>ABS(X9-Y9)/2</f>
        <v>375</v>
      </c>
      <c r="AA9" s="1">
        <f>E9</f>
        <v>12.3</v>
      </c>
      <c r="AB9" s="14">
        <v>8638</v>
      </c>
      <c r="AC9" s="1">
        <v>641</v>
      </c>
      <c r="AH9" s="6">
        <f>2000-AB9</f>
        <v>-6638</v>
      </c>
      <c r="AI9" s="13">
        <v>73.900000000000006</v>
      </c>
      <c r="AJ9" s="13">
        <v>2.4</v>
      </c>
      <c r="AK9" s="12">
        <f>(AI9)/10+100</f>
        <v>107.39</v>
      </c>
      <c r="AL9" s="12">
        <f>AJ9/10</f>
        <v>0.24</v>
      </c>
      <c r="AM9" s="11">
        <f>F9/EXP(-(LN(2)/5730)*(AB9))</f>
        <v>107.27310146332526</v>
      </c>
      <c r="AN9" s="10">
        <f>(1-(AM9/AK9))*100</f>
        <v>0.108854210517495</v>
      </c>
      <c r="AO9" s="9">
        <f>F9</f>
        <v>37.729999999999997</v>
      </c>
      <c r="AP9" s="9">
        <f>H9</f>
        <v>0.41</v>
      </c>
      <c r="AQ9" s="8">
        <f>AM9*(AP9/AO9+AC9/AB9)</f>
        <v>9.1261171520053335</v>
      </c>
      <c r="AR9" s="7">
        <f>AQ9+AL9</f>
        <v>9.3661171520053337</v>
      </c>
      <c r="AT9" s="6">
        <f>AB9-50</f>
        <v>8588</v>
      </c>
      <c r="AU9" s="1">
        <f>AC9</f>
        <v>641</v>
      </c>
      <c r="AV9" s="5">
        <f>-Q9</f>
        <v>7028.0260462893693</v>
      </c>
      <c r="AW9" s="4">
        <f>R9</f>
        <v>368.27906408234276</v>
      </c>
    </row>
    <row r="10" spans="1:49" s="1" customFormat="1" x14ac:dyDescent="0.2">
      <c r="A10" s="1" t="s">
        <v>3</v>
      </c>
      <c r="B10" s="1" t="s">
        <v>2</v>
      </c>
      <c r="C10" s="1">
        <v>26.8</v>
      </c>
      <c r="D10" s="1">
        <v>160</v>
      </c>
      <c r="E10" s="1">
        <f>(233-D10)/10</f>
        <v>7.3</v>
      </c>
      <c r="F10" s="1">
        <v>33.65</v>
      </c>
      <c r="G10" s="17">
        <f>F10/(1+2*(-25/1000-I10/1000)/(1+I10/1000))</f>
        <v>34.680209309590751</v>
      </c>
      <c r="H10" s="1">
        <v>0.33</v>
      </c>
      <c r="I10" s="1">
        <v>-10.3</v>
      </c>
      <c r="J10" s="17">
        <v>0.1</v>
      </c>
      <c r="K10" s="3">
        <v>-4.8099999999999996</v>
      </c>
      <c r="L10" s="17">
        <v>0.1</v>
      </c>
      <c r="M10" s="3">
        <v>9.5</v>
      </c>
      <c r="N10" s="17">
        <v>1.5</v>
      </c>
      <c r="O10" s="17">
        <f>F10/((100-M10)/100)</f>
        <v>37.182320441988949</v>
      </c>
      <c r="P10" s="17">
        <f>H10+N10</f>
        <v>1.83</v>
      </c>
      <c r="Q10" s="15">
        <f>8033*LN(O10/100)</f>
        <v>-7947.3424711434491</v>
      </c>
      <c r="R10" s="15">
        <f>(8033*LN((O10+P10)/100)-8033*LN((O10-P10)/100))/2</f>
        <v>395.67936389631041</v>
      </c>
      <c r="S10" s="1">
        <f>(T10+U10)/2</f>
        <v>-6925</v>
      </c>
      <c r="T10" s="1">
        <v>-7450</v>
      </c>
      <c r="U10" s="1">
        <v>-6400</v>
      </c>
      <c r="V10" s="16">
        <f>ABS(T10-U10)/2</f>
        <v>525</v>
      </c>
      <c r="W10" s="15">
        <f>2000-S10</f>
        <v>8925</v>
      </c>
      <c r="X10" s="15">
        <f>2000-T10</f>
        <v>9450</v>
      </c>
      <c r="Y10" s="15">
        <f>2000-U10</f>
        <v>8400</v>
      </c>
      <c r="Z10" s="1">
        <f>ABS(X10-Y10)/2</f>
        <v>525</v>
      </c>
      <c r="AA10" s="1">
        <f>E10</f>
        <v>7.3</v>
      </c>
      <c r="AB10" s="14">
        <v>9414</v>
      </c>
      <c r="AC10" s="1">
        <v>650</v>
      </c>
      <c r="AH10" s="6">
        <f>2000-AB10</f>
        <v>-7414</v>
      </c>
      <c r="AI10" s="13">
        <v>108.3</v>
      </c>
      <c r="AJ10" s="13">
        <v>3.1</v>
      </c>
      <c r="AK10" s="12">
        <f>(AI10)/10+100</f>
        <v>110.83</v>
      </c>
      <c r="AL10" s="12">
        <f>AJ10/10</f>
        <v>0.31</v>
      </c>
      <c r="AM10" s="11">
        <f>F10/EXP(-(LN(2)/5730)*(AB10))</f>
        <v>105.08890395026931</v>
      </c>
      <c r="AN10" s="10">
        <f>(1-(AM10/AK10))*100</f>
        <v>5.1800920777142379</v>
      </c>
      <c r="AO10" s="9">
        <f>F10</f>
        <v>33.65</v>
      </c>
      <c r="AP10" s="9">
        <f>H10</f>
        <v>0.33</v>
      </c>
      <c r="AQ10" s="8">
        <f>AM10*(AP10/AO10+AC10/AB10)</f>
        <v>8.2865686824190323</v>
      </c>
      <c r="AR10" s="7">
        <f>AQ10+AL10</f>
        <v>8.5965686824190328</v>
      </c>
      <c r="AT10" s="6">
        <f>AB10-50</f>
        <v>9364</v>
      </c>
      <c r="AU10" s="1">
        <f>AC10</f>
        <v>650</v>
      </c>
      <c r="AV10" s="5">
        <f>-Q10</f>
        <v>7947.3424711434491</v>
      </c>
      <c r="AW10" s="4">
        <f>R10</f>
        <v>395.67936389631041</v>
      </c>
    </row>
    <row r="11" spans="1:49" s="1" customFormat="1" x14ac:dyDescent="0.2">
      <c r="A11" s="1" t="s">
        <v>1</v>
      </c>
      <c r="B11" s="1" t="s">
        <v>0</v>
      </c>
      <c r="C11" s="1">
        <v>20.3</v>
      </c>
      <c r="D11" s="1">
        <v>230</v>
      </c>
      <c r="E11" s="1">
        <f>(233-D11)/10</f>
        <v>0.3</v>
      </c>
      <c r="F11" s="1">
        <v>32.78</v>
      </c>
      <c r="G11" s="17">
        <f>F11/(1+2*(-25/1000-I11/1000)/(1+I11/1000))</f>
        <v>33.767635159755557</v>
      </c>
      <c r="H11" s="1">
        <v>0.39</v>
      </c>
      <c r="I11" s="1">
        <v>-10.53</v>
      </c>
      <c r="J11" s="17">
        <v>0.1</v>
      </c>
      <c r="K11" s="3">
        <v>-4.3499999999999996</v>
      </c>
      <c r="L11" s="17">
        <v>0.1</v>
      </c>
      <c r="M11" s="3">
        <v>9.5</v>
      </c>
      <c r="N11" s="17">
        <v>1.5</v>
      </c>
      <c r="O11" s="17">
        <f>F11/((100-M11)/100)</f>
        <v>36.22099447513812</v>
      </c>
      <c r="P11" s="17">
        <f>H11+N11</f>
        <v>1.8900000000000001</v>
      </c>
      <c r="Q11" s="15">
        <f>8033*LN(O11/100)</f>
        <v>-8157.7627512754525</v>
      </c>
      <c r="R11" s="15">
        <f>(8033*LN((O11+P11)/100)-8033*LN((O11-P11)/100))/2</f>
        <v>419.54043185775481</v>
      </c>
      <c r="S11" s="1">
        <f>(T11+U11)/2</f>
        <v>-7050</v>
      </c>
      <c r="T11" s="1">
        <v>-7550</v>
      </c>
      <c r="U11" s="1">
        <v>-6550</v>
      </c>
      <c r="V11" s="16">
        <f>ABS(T11-U11)/2</f>
        <v>500</v>
      </c>
      <c r="W11" s="15">
        <f>2000-S11</f>
        <v>9050</v>
      </c>
      <c r="X11" s="15">
        <f>2000-T11</f>
        <v>9550</v>
      </c>
      <c r="Y11" s="15">
        <f>2000-U11</f>
        <v>8550</v>
      </c>
      <c r="Z11" s="1">
        <f>ABS(X11-Y11)/2</f>
        <v>500</v>
      </c>
      <c r="AA11" s="1">
        <f>E11</f>
        <v>0.3</v>
      </c>
      <c r="AB11" s="14">
        <v>10473</v>
      </c>
      <c r="AC11" s="1">
        <v>685</v>
      </c>
      <c r="AH11" s="6">
        <f>2000-AB11</f>
        <v>-8473</v>
      </c>
      <c r="AI11" s="13">
        <v>116.4</v>
      </c>
      <c r="AJ11" s="13">
        <v>4.0999999999999996</v>
      </c>
      <c r="AK11" s="12">
        <f>(AI11)/10+100</f>
        <v>111.64</v>
      </c>
      <c r="AL11" s="12">
        <f>AJ11/10</f>
        <v>0.41</v>
      </c>
      <c r="AM11" s="11">
        <f>F11/EXP(-(LN(2)/5730)*(AB11))</f>
        <v>116.36332697735661</v>
      </c>
      <c r="AN11" s="10">
        <f>(1-(AM11/AK11))*100</f>
        <v>-4.2308554078794414</v>
      </c>
      <c r="AO11" s="9">
        <f>F11</f>
        <v>32.78</v>
      </c>
      <c r="AP11" s="9">
        <f>H11</f>
        <v>0.39</v>
      </c>
      <c r="AQ11" s="8">
        <f>AM11*(AP11/AO11+AC11/AB11)</f>
        <v>8.9953251796693117</v>
      </c>
      <c r="AR11" s="7">
        <f>AQ11+AL11</f>
        <v>9.4053251796693118</v>
      </c>
      <c r="AT11" s="6">
        <f>AB11-50</f>
        <v>10423</v>
      </c>
      <c r="AU11" s="1">
        <f>AC11</f>
        <v>685</v>
      </c>
      <c r="AV11" s="5">
        <f>-Q11</f>
        <v>8157.7627512754525</v>
      </c>
      <c r="AW11" s="4">
        <f>R11</f>
        <v>419.54043185775481</v>
      </c>
    </row>
    <row r="12" spans="1:49" s="1" customFormat="1" ht="11.25" x14ac:dyDescent="0.2">
      <c r="V12" s="3"/>
    </row>
    <row r="13" spans="1:49" s="1" customFormat="1" ht="11.25" x14ac:dyDescent="0.2">
      <c r="AN13" s="2">
        <f>AVERAGE(AN6:AN11)</f>
        <v>7.1201782950764079</v>
      </c>
    </row>
    <row r="14" spans="1:49" s="1" customFormat="1" ht="11.25" x14ac:dyDescent="0.2"/>
    <row r="15" spans="1:49" s="1" customFormat="1" ht="11.25" x14ac:dyDescent="0.2"/>
    <row r="16" spans="1:49" s="1" customFormat="1" ht="11.25" x14ac:dyDescent="0.2"/>
  </sheetData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Vil5-14C</vt:lpstr>
    </vt:vector>
  </TitlesOfParts>
  <Company>Univ Bordeaux CNRS OASU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DEVAUX</dc:creator>
  <cp:lastModifiedBy>Ludovic DEVAUX</cp:lastModifiedBy>
  <dcterms:created xsi:type="dcterms:W3CDTF">2023-06-23T09:05:43Z</dcterms:created>
  <dcterms:modified xsi:type="dcterms:W3CDTF">2023-06-23T09:06:11Z</dcterms:modified>
</cp:coreProperties>
</file>