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evaux\Documents\"/>
    </mc:Choice>
  </mc:AlternateContent>
  <bookViews>
    <workbookView xWindow="0" yWindow="0" windowWidth="28800" windowHeight="12300"/>
  </bookViews>
  <sheets>
    <sheet name="vil2-dcp=9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O4" i="1"/>
  <c r="P4" i="1"/>
  <c r="Q4" i="1"/>
  <c r="R4" i="1"/>
  <c r="S4" i="1"/>
  <c r="V4" i="1"/>
  <c r="W4" i="1"/>
  <c r="X4" i="1"/>
  <c r="Z4" i="1" s="1"/>
  <c r="Y4" i="1"/>
  <c r="AC4" i="1"/>
  <c r="AH4" i="1"/>
  <c r="E5" i="1"/>
  <c r="G5" i="1"/>
  <c r="O5" i="1"/>
  <c r="Q5" i="1" s="1"/>
  <c r="AX5" i="1" s="1"/>
  <c r="P5" i="1"/>
  <c r="S5" i="1"/>
  <c r="W5" i="1" s="1"/>
  <c r="V5" i="1"/>
  <c r="X5" i="1"/>
  <c r="Y5" i="1"/>
  <c r="Z5" i="1"/>
  <c r="AC5" i="1"/>
  <c r="AH5" i="1"/>
  <c r="AL5" i="1"/>
  <c r="AM5" i="1"/>
  <c r="AN5" i="1"/>
  <c r="AO5" i="1"/>
  <c r="AJ5" i="1" s="1"/>
  <c r="AP5" i="1"/>
  <c r="AQ5" i="1"/>
  <c r="AR5" i="1"/>
  <c r="AS5" i="1"/>
  <c r="AT5" i="1"/>
  <c r="AV5" i="1"/>
  <c r="AW5" i="1"/>
  <c r="E6" i="1"/>
  <c r="G6" i="1"/>
  <c r="O6" i="1"/>
  <c r="Q6" i="1" s="1"/>
  <c r="AX6" i="1" s="1"/>
  <c r="P6" i="1"/>
  <c r="S6" i="1"/>
  <c r="W6" i="1" s="1"/>
  <c r="V6" i="1"/>
  <c r="X6" i="1"/>
  <c r="Y6" i="1"/>
  <c r="Z6" i="1"/>
  <c r="AC6" i="1"/>
  <c r="AH6" i="1"/>
  <c r="AL6" i="1"/>
  <c r="AM6" i="1"/>
  <c r="AN6" i="1"/>
  <c r="AO6" i="1"/>
  <c r="AJ6" i="1" s="1"/>
  <c r="AP6" i="1"/>
  <c r="AQ6" i="1"/>
  <c r="AR6" i="1"/>
  <c r="AS6" i="1"/>
  <c r="AT6" i="1"/>
  <c r="AV6" i="1"/>
  <c r="AW6" i="1"/>
  <c r="E7" i="1"/>
  <c r="G7" i="1"/>
  <c r="O7" i="1"/>
  <c r="Q7" i="1" s="1"/>
  <c r="AX7" i="1" s="1"/>
  <c r="P7" i="1"/>
  <c r="S7" i="1"/>
  <c r="W7" i="1" s="1"/>
  <c r="V7" i="1"/>
  <c r="X7" i="1"/>
  <c r="Y7" i="1"/>
  <c r="Z7" i="1"/>
  <c r="AC7" i="1"/>
  <c r="AH7" i="1"/>
  <c r="AL7" i="1"/>
  <c r="AM7" i="1"/>
  <c r="AN7" i="1"/>
  <c r="AO7" i="1"/>
  <c r="AJ7" i="1" s="1"/>
  <c r="AP7" i="1"/>
  <c r="AQ7" i="1"/>
  <c r="AR7" i="1"/>
  <c r="AS7" i="1"/>
  <c r="AT7" i="1"/>
  <c r="AV7" i="1"/>
  <c r="AW7" i="1"/>
  <c r="E8" i="1"/>
  <c r="G8" i="1"/>
  <c r="O8" i="1"/>
  <c r="Q8" i="1" s="1"/>
  <c r="AX8" i="1" s="1"/>
  <c r="P8" i="1"/>
  <c r="S8" i="1"/>
  <c r="W8" i="1" s="1"/>
  <c r="V8" i="1"/>
  <c r="X8" i="1"/>
  <c r="Y8" i="1"/>
  <c r="Z8" i="1"/>
  <c r="AC8" i="1"/>
  <c r="AH8" i="1"/>
  <c r="AL8" i="1"/>
  <c r="AM8" i="1"/>
  <c r="AN8" i="1"/>
  <c r="AO8" i="1"/>
  <c r="AJ8" i="1" s="1"/>
  <c r="AP8" i="1"/>
  <c r="AQ8" i="1"/>
  <c r="AR8" i="1"/>
  <c r="AS8" i="1"/>
  <c r="AT8" i="1"/>
  <c r="AV8" i="1"/>
  <c r="AW8" i="1"/>
  <c r="R8" i="1" l="1"/>
  <c r="AY8" i="1" s="1"/>
  <c r="R7" i="1"/>
  <c r="AY7" i="1" s="1"/>
  <c r="R6" i="1"/>
  <c r="AY6" i="1" s="1"/>
  <c r="R5" i="1"/>
  <c r="AY5" i="1" s="1"/>
</calcChain>
</file>

<file path=xl/sharedStrings.xml><?xml version="1.0" encoding="utf-8"?>
<sst xmlns="http://schemas.openxmlformats.org/spreadsheetml/2006/main" count="98" uniqueCount="66">
  <si>
    <t>Vil2 14C-E</t>
  </si>
  <si>
    <t>PA 676</t>
  </si>
  <si>
    <t>Vil2 14C-D</t>
  </si>
  <si>
    <t>PA 675</t>
  </si>
  <si>
    <t>Vil2 14C-C</t>
  </si>
  <si>
    <t>PA 673</t>
  </si>
  <si>
    <t>Vil2 14C-B</t>
  </si>
  <si>
    <t>PA 672</t>
  </si>
  <si>
    <t>error</t>
  </si>
  <si>
    <t>Vil6 Conv. Dcp corr. (9.5%) 14C age</t>
  </si>
  <si>
    <t>U/Th age /1950</t>
  </si>
  <si>
    <t>Vil2 14C-A</t>
  </si>
  <si>
    <t>PA 671</t>
  </si>
  <si>
    <t xml:space="preserve">U/Th ages </t>
  </si>
  <si>
    <t>cal. Yr / 2000</t>
  </si>
  <si>
    <t>yr</t>
  </si>
  <si>
    <t>cal. Yr AD/(-)BC</t>
  </si>
  <si>
    <t>cal. Yr AD/BC</t>
  </si>
  <si>
    <t>yr BP</t>
  </si>
  <si>
    <t>pMC</t>
  </si>
  <si>
    <t>(no normalized)</t>
  </si>
  <si>
    <t>(normalized)</t>
  </si>
  <si>
    <t>ET ERREUR DCP:</t>
  </si>
  <si>
    <t>corr ?</t>
  </si>
  <si>
    <t>PB avec iso</t>
  </si>
  <si>
    <t>corrected ages</t>
  </si>
  <si>
    <t>±</t>
  </si>
  <si>
    <t>age</t>
  </si>
  <si>
    <t xml:space="preserve"> activity</t>
  </si>
  <si>
    <t>%</t>
  </si>
  <si>
    <t>‰ PDB</t>
  </si>
  <si>
    <t>pmc</t>
  </si>
  <si>
    <t>activity, pmc</t>
  </si>
  <si>
    <t>activity, pMC</t>
  </si>
  <si>
    <t>mg</t>
  </si>
  <si>
    <t>Vil2Conv. Dcp corr. (9.5%) 14C age</t>
  </si>
  <si>
    <t>gradient</t>
  </si>
  <si>
    <t>error on dcp, pMC</t>
  </si>
  <si>
    <t>error on A 14C m init. pMC</t>
  </si>
  <si>
    <t xml:space="preserve">error </t>
  </si>
  <si>
    <t>14C Act. pMC</t>
  </si>
  <si>
    <t>dcp %</t>
  </si>
  <si>
    <t>A 14C m init. pMC</t>
  </si>
  <si>
    <t>error on Ai, from U/Th error and Stuiver curve pMC</t>
  </si>
  <si>
    <t>atm. A 14C act. from U/Th ages and calibration curve (Stuiver and Reimer, 93), pMC</t>
  </si>
  <si>
    <t>D14C error</t>
  </si>
  <si>
    <t>Vil6 atm. D 14C act. from measured 14C, U/Th ages and dcp (fixed)</t>
  </si>
  <si>
    <t>atm. D 14C act. from U/Th ages and calibration curve (Stuiver and Reimer, 93)</t>
  </si>
  <si>
    <t>U/Th ages cal. A.D./B.C.</t>
  </si>
  <si>
    <t>CALCUL DCP</t>
  </si>
  <si>
    <t>cm/base</t>
  </si>
  <si>
    <t>Sample</t>
  </si>
  <si>
    <t>total error</t>
  </si>
  <si>
    <t>error-</t>
  </si>
  <si>
    <t>error+</t>
  </si>
  <si>
    <t xml:space="preserve">calibrated and </t>
  </si>
  <si>
    <t>dcp corrected</t>
  </si>
  <si>
    <t>dcp</t>
  </si>
  <si>
    <t xml:space="preserve">Error  </t>
  </si>
  <si>
    <r>
      <t>d</t>
    </r>
    <r>
      <rPr>
        <b/>
        <vertAlign val="superscript"/>
        <sz val="8"/>
        <rFont val="Arial"/>
        <family val="2"/>
      </rPr>
      <t>18</t>
    </r>
    <r>
      <rPr>
        <b/>
        <sz val="8"/>
        <rFont val="Arial"/>
        <family val="2"/>
      </rPr>
      <t xml:space="preserve">O </t>
    </r>
  </si>
  <si>
    <r>
      <t>d</t>
    </r>
    <r>
      <rPr>
        <b/>
        <vertAlign val="superscript"/>
        <sz val="8"/>
        <rFont val="Arial"/>
        <family val="2"/>
      </rPr>
      <t>13</t>
    </r>
    <r>
      <rPr>
        <b/>
        <sz val="8"/>
        <rFont val="Arial"/>
        <family val="2"/>
      </rPr>
      <t xml:space="preserve">C </t>
    </r>
  </si>
  <si>
    <t xml:space="preserve">Error </t>
  </si>
  <si>
    <r>
      <t xml:space="preserve">Mesured </t>
    </r>
    <r>
      <rPr>
        <b/>
        <vertAlign val="superscript"/>
        <sz val="8"/>
        <rFont val="Arial"/>
        <family val="2"/>
      </rPr>
      <t>14</t>
    </r>
    <r>
      <rPr>
        <b/>
        <sz val="8"/>
        <rFont val="Arial"/>
        <family val="2"/>
      </rPr>
      <t xml:space="preserve">C </t>
    </r>
  </si>
  <si>
    <t>mm/top</t>
  </si>
  <si>
    <t>Quantities</t>
  </si>
  <si>
    <t>Lab.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</si>
</sst>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MS Sans Serif"/>
    </font>
    <font>
      <sz val="8"/>
      <name val="MS Sans Serif"/>
      <family val="2"/>
    </font>
    <font>
      <sz val="8"/>
      <name val="MS Sans Serif"/>
    </font>
    <font>
      <sz val="8"/>
      <color indexed="10"/>
      <name val="MS Sans Serif"/>
    </font>
    <font>
      <sz val="10"/>
      <color indexed="10"/>
      <name val="Arial"/>
    </font>
    <font>
      <b/>
      <sz val="10"/>
      <name val="Times New Roman"/>
      <family val="1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8"/>
      <name val="MS Sans Serif"/>
    </font>
    <font>
      <i/>
      <sz val="8"/>
      <name val="MS Sans Serif"/>
      <family val="2"/>
    </font>
    <font>
      <i/>
      <sz val="8"/>
      <name val="MS Sans Serif"/>
    </font>
    <font>
      <i/>
      <sz val="8"/>
      <color indexed="10"/>
      <name val="MS Sans Serif"/>
    </font>
    <font>
      <i/>
      <sz val="10"/>
      <name val="Arial"/>
    </font>
    <font>
      <i/>
      <sz val="10"/>
      <color indexed="10"/>
      <name val="Arial"/>
    </font>
    <font>
      <b/>
      <i/>
      <sz val="10"/>
      <name val="Times New Roman"/>
      <family val="1"/>
    </font>
    <font>
      <b/>
      <sz val="8"/>
      <name val="Arial"/>
    </font>
    <font>
      <b/>
      <sz val="8"/>
      <color indexed="10"/>
      <name val="MS Sans Serif"/>
    </font>
    <font>
      <sz val="8"/>
      <name val="Arial"/>
    </font>
    <font>
      <sz val="8"/>
      <color indexed="10"/>
      <name val="Arial"/>
    </font>
    <font>
      <sz val="8"/>
      <color indexed="10"/>
      <name val="MS Sans Serif"/>
      <family val="2"/>
    </font>
    <font>
      <b/>
      <sz val="8"/>
      <color indexed="10"/>
      <name val="MS Sans Serif"/>
      <family val="2"/>
    </font>
    <font>
      <b/>
      <sz val="8"/>
      <name val="MS Sans Serif"/>
      <family val="2"/>
    </font>
    <font>
      <b/>
      <sz val="8"/>
      <name val="Symbol"/>
      <family val="1"/>
      <charset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center"/>
    </xf>
    <xf numFmtId="164" fontId="5" fillId="0" borderId="0" xfId="1" applyNumberFormat="1" applyFont="1"/>
    <xf numFmtId="2" fontId="8" fillId="0" borderId="0" xfId="1" applyNumberFormat="1" applyFont="1"/>
    <xf numFmtId="2" fontId="7" fillId="0" borderId="0" xfId="1" applyNumberFormat="1" applyFont="1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2" fontId="9" fillId="0" borderId="0" xfId="1" applyNumberFormat="1" applyFont="1" applyFill="1" applyAlignment="1">
      <alignment horizontal="center"/>
    </xf>
    <xf numFmtId="1" fontId="1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1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center"/>
    </xf>
    <xf numFmtId="2" fontId="13" fillId="0" borderId="0" xfId="1" applyNumberFormat="1" applyFont="1" applyAlignment="1">
      <alignment horizontal="center"/>
    </xf>
    <xf numFmtId="2" fontId="14" fillId="0" borderId="0" xfId="1" applyNumberFormat="1" applyFont="1" applyAlignment="1">
      <alignment horizontal="left"/>
    </xf>
    <xf numFmtId="164" fontId="15" fillId="0" borderId="0" xfId="1" applyNumberFormat="1" applyFont="1" applyAlignment="1">
      <alignment horizontal="center"/>
    </xf>
    <xf numFmtId="164" fontId="13" fillId="0" borderId="0" xfId="1" applyNumberFormat="1" applyFont="1"/>
    <xf numFmtId="2" fontId="16" fillId="0" borderId="0" xfId="1" applyNumberFormat="1" applyFont="1"/>
    <xf numFmtId="2" fontId="15" fillId="0" borderId="0" xfId="1" applyNumberFormat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2" fontId="18" fillId="0" borderId="0" xfId="1" applyNumberFormat="1" applyFont="1" applyFill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2" fontId="21" fillId="0" borderId="0" xfId="1" applyNumberFormat="1" applyFont="1"/>
    <xf numFmtId="0" fontId="22" fillId="0" borderId="0" xfId="1" applyFont="1" applyAlignment="1">
      <alignment horizontal="center"/>
    </xf>
    <xf numFmtId="2" fontId="23" fillId="0" borderId="0" xfId="1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2" fontId="21" fillId="0" borderId="0" xfId="1" applyNumberFormat="1" applyFont="1" applyAlignment="1">
      <alignment horizontal="center"/>
    </xf>
    <xf numFmtId="2" fontId="24" fillId="0" borderId="0" xfId="1" applyNumberFormat="1" applyFont="1" applyAlignment="1">
      <alignment horizontal="left"/>
    </xf>
    <xf numFmtId="164" fontId="23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164" fontId="25" fillId="0" borderId="0" xfId="1" applyNumberFormat="1" applyFont="1"/>
    <xf numFmtId="2" fontId="25" fillId="0" borderId="0" xfId="1" applyNumberFormat="1" applyFont="1"/>
    <xf numFmtId="2" fontId="24" fillId="0" borderId="0" xfId="1" applyNumberFormat="1" applyFont="1"/>
    <xf numFmtId="0" fontId="24" fillId="0" borderId="0" xfId="1" applyFont="1" applyAlignment="1">
      <alignment horizontal="center"/>
    </xf>
    <xf numFmtId="2" fontId="24" fillId="0" borderId="0" xfId="1" applyNumberFormat="1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14" fontId="4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2" fontId="8" fillId="0" borderId="0" xfId="1" applyNumberFormat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21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applyFont="1"/>
    <xf numFmtId="2" fontId="25" fillId="0" borderId="0" xfId="0" applyNumberFormat="1" applyFont="1" applyFill="1" applyAlignment="1">
      <alignment horizontal="left"/>
    </xf>
    <xf numFmtId="0" fontId="26" fillId="0" borderId="0" xfId="1" applyFont="1"/>
    <xf numFmtId="0" fontId="4" fillId="0" borderId="0" xfId="0" applyFont="1" applyAlignment="1">
      <alignment horizontal="center"/>
    </xf>
    <xf numFmtId="164" fontId="27" fillId="0" borderId="0" xfId="0" applyNumberFormat="1" applyFont="1" applyBorder="1" applyAlignment="1">
      <alignment horizontal="center"/>
    </xf>
  </cellXfs>
  <cellStyles count="2">
    <cellStyle name="Normal" xfId="0" builtinId="0"/>
    <cellStyle name="Normal_vil5C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O1" workbookViewId="0">
      <selection activeCell="AX2" sqref="AX2"/>
    </sheetView>
  </sheetViews>
  <sheetFormatPr baseColWidth="10" defaultRowHeight="12.75" x14ac:dyDescent="0.2"/>
  <cols>
    <col min="1" max="1" width="7.7109375" bestFit="1" customWidth="1"/>
    <col min="2" max="2" width="9.7109375" bestFit="1" customWidth="1"/>
    <col min="3" max="3" width="7.85546875" bestFit="1" customWidth="1"/>
    <col min="4" max="4" width="6.140625" bestFit="1" customWidth="1"/>
    <col min="5" max="5" width="8.140625" customWidth="1"/>
    <col min="6" max="6" width="9.7109375" bestFit="1" customWidth="1"/>
    <col min="7" max="7" width="11.85546875" bestFit="1" customWidth="1"/>
    <col min="8" max="8" width="4.7109375" bestFit="1" customWidth="1"/>
    <col min="9" max="12" width="5.5703125" bestFit="1" customWidth="1"/>
    <col min="13" max="13" width="3.28515625" bestFit="1" customWidth="1"/>
    <col min="14" max="14" width="4.28515625" bestFit="1" customWidth="1"/>
    <col min="15" max="15" width="10.42578125" bestFit="1" customWidth="1"/>
    <col min="16" max="16" width="4.28515625" bestFit="1" customWidth="1"/>
    <col min="17" max="17" width="10.42578125" bestFit="1" customWidth="1"/>
    <col min="18" max="18" width="4.28515625" bestFit="1" customWidth="1"/>
    <col min="22" max="22" width="7.7109375" bestFit="1" customWidth="1"/>
    <col min="24" max="25" width="9.7109375" bestFit="1" customWidth="1"/>
    <col min="27" max="27" width="7.7109375" bestFit="1" customWidth="1"/>
    <col min="28" max="28" width="7.5703125" style="1" customWidth="1"/>
    <col min="29" max="29" width="8.140625" customWidth="1"/>
    <col min="33" max="33" width="16.7109375" customWidth="1"/>
    <col min="44" max="44" width="6.7109375" bestFit="1" customWidth="1"/>
  </cols>
  <sheetData>
    <row r="1" spans="1:51" s="59" customFormat="1" ht="11.25" x14ac:dyDescent="0.2">
      <c r="A1" s="17" t="s">
        <v>51</v>
      </c>
      <c r="B1" s="17" t="s">
        <v>65</v>
      </c>
      <c r="C1" s="18" t="s">
        <v>64</v>
      </c>
      <c r="D1" s="18" t="s">
        <v>63</v>
      </c>
      <c r="E1" s="18" t="s">
        <v>50</v>
      </c>
      <c r="F1" s="18" t="s">
        <v>62</v>
      </c>
      <c r="G1" s="18" t="s">
        <v>62</v>
      </c>
      <c r="H1" s="18" t="s">
        <v>61</v>
      </c>
      <c r="I1" s="90" t="s">
        <v>60</v>
      </c>
      <c r="J1" s="17" t="s">
        <v>58</v>
      </c>
      <c r="K1" s="90" t="s">
        <v>59</v>
      </c>
      <c r="L1" s="18" t="s">
        <v>58</v>
      </c>
      <c r="M1" s="17" t="s">
        <v>57</v>
      </c>
      <c r="N1" s="18" t="s">
        <v>8</v>
      </c>
      <c r="O1" s="73" t="s">
        <v>56</v>
      </c>
      <c r="P1" s="18" t="s">
        <v>8</v>
      </c>
      <c r="Q1" s="18" t="s">
        <v>56</v>
      </c>
      <c r="R1" s="17" t="s">
        <v>8</v>
      </c>
      <c r="S1" s="74" t="s">
        <v>55</v>
      </c>
      <c r="T1" s="89" t="s">
        <v>54</v>
      </c>
      <c r="U1" s="89" t="s">
        <v>53</v>
      </c>
      <c r="V1" s="89" t="s">
        <v>52</v>
      </c>
      <c r="W1" s="74" t="s">
        <v>55</v>
      </c>
      <c r="X1" s="89" t="s">
        <v>54</v>
      </c>
      <c r="Y1" s="89" t="s">
        <v>53</v>
      </c>
      <c r="Z1" s="73" t="s">
        <v>52</v>
      </c>
      <c r="AA1" s="17" t="s">
        <v>51</v>
      </c>
      <c r="AB1" s="41" t="s">
        <v>50</v>
      </c>
      <c r="AC1" s="18" t="s">
        <v>50</v>
      </c>
      <c r="AF1" s="72" t="s">
        <v>13</v>
      </c>
      <c r="AG1" s="88" t="s">
        <v>49</v>
      </c>
      <c r="AH1" s="72" t="s">
        <v>48</v>
      </c>
      <c r="AI1" s="85" t="s">
        <v>47</v>
      </c>
      <c r="AJ1" s="87" t="s">
        <v>46</v>
      </c>
      <c r="AK1" s="86" t="s">
        <v>45</v>
      </c>
      <c r="AL1" s="85" t="s">
        <v>44</v>
      </c>
      <c r="AM1" s="85" t="s">
        <v>43</v>
      </c>
      <c r="AN1" s="85" t="s">
        <v>42</v>
      </c>
      <c r="AO1" s="84" t="s">
        <v>42</v>
      </c>
      <c r="AP1" s="83" t="s">
        <v>41</v>
      </c>
      <c r="AQ1" s="72" t="s">
        <v>40</v>
      </c>
      <c r="AR1" s="72" t="s">
        <v>39</v>
      </c>
      <c r="AS1" s="82" t="s">
        <v>38</v>
      </c>
      <c r="AT1" s="81" t="s">
        <v>37</v>
      </c>
      <c r="AU1" s="61" t="s">
        <v>36</v>
      </c>
      <c r="AV1" s="49" t="s">
        <v>10</v>
      </c>
      <c r="AW1" s="47" t="s">
        <v>8</v>
      </c>
      <c r="AX1" s="48" t="s">
        <v>35</v>
      </c>
      <c r="AY1" s="47" t="s">
        <v>8</v>
      </c>
    </row>
    <row r="2" spans="1:51" s="59" customFormat="1" ht="11.25" x14ac:dyDescent="0.2">
      <c r="A2" s="17"/>
      <c r="B2" s="17"/>
      <c r="C2" s="18" t="s">
        <v>34</v>
      </c>
      <c r="D2" s="18"/>
      <c r="E2" s="18"/>
      <c r="F2" s="18" t="s">
        <v>33</v>
      </c>
      <c r="G2" s="18" t="s">
        <v>32</v>
      </c>
      <c r="H2" s="18" t="s">
        <v>31</v>
      </c>
      <c r="I2" s="18" t="s">
        <v>30</v>
      </c>
      <c r="J2" s="17" t="s">
        <v>30</v>
      </c>
      <c r="K2" s="18" t="s">
        <v>30</v>
      </c>
      <c r="L2" s="18" t="s">
        <v>30</v>
      </c>
      <c r="M2" s="17" t="s">
        <v>29</v>
      </c>
      <c r="N2" s="18"/>
      <c r="O2" s="59" t="s">
        <v>28</v>
      </c>
      <c r="P2" s="18"/>
      <c r="Q2" s="18" t="s">
        <v>27</v>
      </c>
      <c r="R2" s="17"/>
      <c r="S2" s="74" t="s">
        <v>25</v>
      </c>
      <c r="T2" s="18"/>
      <c r="U2" s="18"/>
      <c r="V2" s="18" t="s">
        <v>26</v>
      </c>
      <c r="W2" s="74" t="s">
        <v>25</v>
      </c>
      <c r="X2" s="73"/>
      <c r="Y2" s="17"/>
      <c r="Z2" s="73"/>
      <c r="AA2" s="17"/>
      <c r="AB2" s="41" t="s">
        <v>24</v>
      </c>
      <c r="AC2" s="18" t="s">
        <v>23</v>
      </c>
      <c r="AF2" s="80"/>
      <c r="AG2" s="79" t="s">
        <v>22</v>
      </c>
      <c r="AH2" s="71"/>
      <c r="AI2" s="13"/>
      <c r="AJ2" s="78"/>
      <c r="AK2" s="13"/>
      <c r="AL2" s="71"/>
      <c r="AM2" s="71"/>
      <c r="AN2" s="71"/>
      <c r="AO2" s="77"/>
      <c r="AP2" s="76"/>
      <c r="AQ2" s="13"/>
      <c r="AR2" s="60"/>
      <c r="AS2" s="12"/>
      <c r="AT2" s="71"/>
      <c r="AU2" s="61"/>
      <c r="AV2" s="75"/>
      <c r="AW2" s="47"/>
      <c r="AX2" s="47"/>
      <c r="AY2" s="47"/>
    </row>
    <row r="3" spans="1:51" s="59" customFormat="1" ht="11.25" x14ac:dyDescent="0.2">
      <c r="A3" s="17"/>
      <c r="B3" s="17"/>
      <c r="C3" s="18"/>
      <c r="D3" s="18"/>
      <c r="E3" s="18"/>
      <c r="F3" s="18" t="s">
        <v>21</v>
      </c>
      <c r="G3" s="18" t="s">
        <v>20</v>
      </c>
      <c r="H3" s="18"/>
      <c r="I3" s="17"/>
      <c r="J3" s="17"/>
      <c r="K3" s="18"/>
      <c r="L3" s="18"/>
      <c r="M3" s="17"/>
      <c r="N3" s="18"/>
      <c r="O3" s="73" t="s">
        <v>19</v>
      </c>
      <c r="P3" s="18"/>
      <c r="Q3" s="18" t="s">
        <v>18</v>
      </c>
      <c r="R3" s="17"/>
      <c r="S3" s="74" t="s">
        <v>17</v>
      </c>
      <c r="T3" s="74" t="s">
        <v>16</v>
      </c>
      <c r="U3" s="74" t="s">
        <v>16</v>
      </c>
      <c r="V3" s="74" t="s">
        <v>15</v>
      </c>
      <c r="W3" s="74" t="s">
        <v>14</v>
      </c>
      <c r="X3" s="74" t="s">
        <v>14</v>
      </c>
      <c r="Y3" s="74" t="s">
        <v>14</v>
      </c>
      <c r="Z3" s="73"/>
      <c r="AA3" s="17"/>
      <c r="AB3" s="41"/>
      <c r="AC3" s="18"/>
      <c r="AF3" s="72" t="s">
        <v>13</v>
      </c>
      <c r="AG3" s="13" t="s">
        <v>8</v>
      </c>
      <c r="AH3" s="71"/>
      <c r="AI3" s="69"/>
      <c r="AJ3" s="70"/>
      <c r="AK3" s="69"/>
      <c r="AL3" s="13"/>
      <c r="AM3" s="69"/>
      <c r="AN3" s="68"/>
      <c r="AO3" s="67"/>
      <c r="AP3" s="66"/>
      <c r="AQ3" s="65"/>
      <c r="AR3" s="64"/>
      <c r="AS3" s="63"/>
      <c r="AT3" s="62"/>
      <c r="AU3" s="61"/>
      <c r="AV3" s="60"/>
      <c r="AW3" s="47"/>
      <c r="AX3" s="47"/>
      <c r="AY3" s="47"/>
    </row>
    <row r="4" spans="1:51" s="2" customFormat="1" x14ac:dyDescent="0.2">
      <c r="A4" s="54" t="s">
        <v>11</v>
      </c>
      <c r="B4" s="54" t="s">
        <v>12</v>
      </c>
      <c r="C4" s="57">
        <v>49.4</v>
      </c>
      <c r="D4" s="57">
        <v>0</v>
      </c>
      <c r="E4" s="24">
        <f>(279-D4)/10</f>
        <v>27.9</v>
      </c>
      <c r="F4" s="57">
        <v>86.2</v>
      </c>
      <c r="G4" s="57">
        <f>F4/(1+2*(-25/1000-I4/1000)/(1+I4/1000))</f>
        <v>89.734938926743496</v>
      </c>
      <c r="H4" s="57">
        <v>1.1000000000000001</v>
      </c>
      <c r="I4" s="58">
        <v>-5.41</v>
      </c>
      <c r="J4" s="57">
        <v>0.1</v>
      </c>
      <c r="K4" s="58">
        <v>-3.61</v>
      </c>
      <c r="L4" s="57">
        <v>0.1</v>
      </c>
      <c r="M4" s="54">
        <v>9.5</v>
      </c>
      <c r="N4" s="57">
        <v>1.5</v>
      </c>
      <c r="O4" s="57">
        <f>F4/((100-M4)/100)</f>
        <v>95.248618784530393</v>
      </c>
      <c r="P4" s="57">
        <f>H4+N4</f>
        <v>2.6</v>
      </c>
      <c r="Q4" s="55">
        <f>8033*LN(O4/100)</f>
        <v>-391.04381350005946</v>
      </c>
      <c r="R4" s="55">
        <f>(8033*LN((O4+P4)/100)-8033*LN((O4-P4)/100))/2</f>
        <v>219.33115776220848</v>
      </c>
      <c r="S4" s="57">
        <f>(T4+U4)/2</f>
        <v>1535</v>
      </c>
      <c r="T4" s="22">
        <v>1390</v>
      </c>
      <c r="U4" s="22">
        <v>1680</v>
      </c>
      <c r="V4" s="22">
        <f>ABS(T4-U4)/2</f>
        <v>145</v>
      </c>
      <c r="W4" s="56">
        <f>2000-S4</f>
        <v>465</v>
      </c>
      <c r="X4" s="55">
        <f>2000-T4</f>
        <v>610</v>
      </c>
      <c r="Y4" s="55">
        <f>2000-U4</f>
        <v>320</v>
      </c>
      <c r="Z4" s="18">
        <f>ABS(X4-Y4)/2</f>
        <v>145</v>
      </c>
      <c r="AA4" s="54" t="s">
        <v>11</v>
      </c>
      <c r="AB4" s="19">
        <v>27.9</v>
      </c>
      <c r="AC4" s="18">
        <f>AB4-0.5</f>
        <v>27.4</v>
      </c>
      <c r="AF4" s="46">
        <v>7</v>
      </c>
      <c r="AG4" s="13">
        <v>1</v>
      </c>
      <c r="AH4" s="5">
        <f>2000-AF4</f>
        <v>1993</v>
      </c>
      <c r="AI4" s="52"/>
      <c r="AJ4" s="53"/>
      <c r="AK4" s="52"/>
      <c r="AL4" s="13"/>
      <c r="AM4" s="13"/>
      <c r="AN4" s="12"/>
      <c r="AO4" s="51"/>
      <c r="AP4" s="10"/>
      <c r="AQ4" s="9"/>
      <c r="AR4" s="9"/>
      <c r="AS4" s="8"/>
      <c r="AT4" s="7"/>
      <c r="AU4" s="50"/>
      <c r="AV4" s="49" t="s">
        <v>10</v>
      </c>
      <c r="AW4" s="47" t="s">
        <v>8</v>
      </c>
      <c r="AX4" s="48" t="s">
        <v>9</v>
      </c>
      <c r="AY4" s="47" t="s">
        <v>8</v>
      </c>
    </row>
    <row r="5" spans="1:51" s="2" customFormat="1" x14ac:dyDescent="0.2">
      <c r="A5" s="2" t="s">
        <v>6</v>
      </c>
      <c r="B5" s="2" t="s">
        <v>7</v>
      </c>
      <c r="C5" s="24">
        <v>49.4</v>
      </c>
      <c r="D5" s="24">
        <v>100.5</v>
      </c>
      <c r="E5" s="24">
        <f>(279-D5)/10</f>
        <v>17.850000000000001</v>
      </c>
      <c r="F5" s="24">
        <v>76</v>
      </c>
      <c r="G5" s="24">
        <f>F5/(1+2*(-25/1000-I5/1000)/(1+I5/1000))</f>
        <v>78.30588382287101</v>
      </c>
      <c r="H5" s="24">
        <v>0.6</v>
      </c>
      <c r="I5" s="19">
        <v>-10.43</v>
      </c>
      <c r="J5" s="24">
        <v>0.1</v>
      </c>
      <c r="K5" s="19">
        <v>-4.97</v>
      </c>
      <c r="L5" s="24">
        <v>0.1</v>
      </c>
      <c r="M5" s="2">
        <v>9.5</v>
      </c>
      <c r="N5" s="24">
        <v>1.5</v>
      </c>
      <c r="O5" s="24">
        <f>F5/((100-M5)/100)</f>
        <v>83.97790055248619</v>
      </c>
      <c r="P5" s="24">
        <f>H5+N5</f>
        <v>2.1</v>
      </c>
      <c r="Q5" s="20">
        <f>8033*LN(O5/100)</f>
        <v>-1402.6944282002391</v>
      </c>
      <c r="R5" s="20">
        <f>(8033*LN((O5+P5)/100)-8033*LN((O5-P5)/100))/2</f>
        <v>200.9197359821261</v>
      </c>
      <c r="S5" s="24">
        <f>(T5+U5)/2</f>
        <v>650</v>
      </c>
      <c r="T5" s="23">
        <v>430</v>
      </c>
      <c r="U5" s="23">
        <v>870</v>
      </c>
      <c r="V5" s="22">
        <f>ABS(T5-U5)/2</f>
        <v>220</v>
      </c>
      <c r="W5" s="21">
        <f>2000-S5</f>
        <v>1350</v>
      </c>
      <c r="X5" s="20">
        <f>2000-T5</f>
        <v>1570</v>
      </c>
      <c r="Y5" s="20">
        <f>2000-U5</f>
        <v>1130</v>
      </c>
      <c r="Z5" s="18">
        <f>ABS(X5-Y5)/2</f>
        <v>220</v>
      </c>
      <c r="AA5" s="2" t="s">
        <v>6</v>
      </c>
      <c r="AB5" s="19">
        <v>17.850000000000001</v>
      </c>
      <c r="AC5" s="18">
        <f>AB5-0.5</f>
        <v>17.350000000000001</v>
      </c>
      <c r="AE5" s="17"/>
      <c r="AF5" s="46">
        <v>1186</v>
      </c>
      <c r="AG5" s="6">
        <v>100</v>
      </c>
      <c r="AH5" s="5">
        <f>2000-AF5</f>
        <v>814</v>
      </c>
      <c r="AI5" s="6">
        <v>-12.1</v>
      </c>
      <c r="AJ5" s="15">
        <f>(AO5-100)*10</f>
        <v>-30.668238475433185</v>
      </c>
      <c r="AK5" s="6">
        <v>1.7</v>
      </c>
      <c r="AL5" s="13">
        <f>(AI5)/10+100</f>
        <v>98.79</v>
      </c>
      <c r="AM5" s="13">
        <f>AK5/10</f>
        <v>0.16999999999999998</v>
      </c>
      <c r="AN5" s="12">
        <f>F5/EXP(-(LN(2)/5730)*(AF5))</f>
        <v>87.724524417973299</v>
      </c>
      <c r="AO5" s="11">
        <f>O5/EXP(-(LN(2)/5730)*(AF5))</f>
        <v>96.933176152456682</v>
      </c>
      <c r="AP5" s="10">
        <f>(1-(AN5/AL5))*100</f>
        <v>11.201007776117732</v>
      </c>
      <c r="AQ5" s="9">
        <f>F5</f>
        <v>76</v>
      </c>
      <c r="AR5" s="9">
        <f>H5</f>
        <v>0.6</v>
      </c>
      <c r="AS5" s="8">
        <f>AN5*(AR5/AQ5+AG5/AF5)</f>
        <v>8.0892335709641756</v>
      </c>
      <c r="AT5" s="7">
        <f>AS5+AM5</f>
        <v>8.2592335709641755</v>
      </c>
      <c r="AU5" s="6"/>
      <c r="AV5" s="5">
        <f>AF5-50</f>
        <v>1136</v>
      </c>
      <c r="AW5" s="5">
        <f>AG5</f>
        <v>100</v>
      </c>
      <c r="AX5" s="4">
        <f>-Q5</f>
        <v>1402.6944282002391</v>
      </c>
      <c r="AY5" s="3">
        <f>R5</f>
        <v>200.9197359821261</v>
      </c>
    </row>
    <row r="6" spans="1:51" s="2" customFormat="1" x14ac:dyDescent="0.2">
      <c r="A6" s="2" t="s">
        <v>4</v>
      </c>
      <c r="B6" s="2" t="s">
        <v>5</v>
      </c>
      <c r="C6" s="24">
        <v>43.5</v>
      </c>
      <c r="D6" s="24">
        <v>104.5</v>
      </c>
      <c r="E6" s="24">
        <f>(279-D6)/10</f>
        <v>17.45</v>
      </c>
      <c r="F6" s="24">
        <v>54</v>
      </c>
      <c r="G6" s="24">
        <f>F6/(1+2*(-25/1000-I6/1000)/(1+I6/1000))</f>
        <v>56.842105263157897</v>
      </c>
      <c r="H6" s="24">
        <v>0.7</v>
      </c>
      <c r="I6" s="19"/>
      <c r="J6" s="24">
        <v>0.1</v>
      </c>
      <c r="K6" s="19"/>
      <c r="L6" s="24">
        <v>0.1</v>
      </c>
      <c r="M6" s="2">
        <v>9.5</v>
      </c>
      <c r="N6" s="24">
        <v>1.5</v>
      </c>
      <c r="O6" s="24">
        <f>F6/((100-M6)/100)</f>
        <v>59.668508287292816</v>
      </c>
      <c r="P6" s="24">
        <f>H6+N6</f>
        <v>2.2000000000000002</v>
      </c>
      <c r="Q6" s="20">
        <f>8033*LN(O6/100)</f>
        <v>-4147.9665046695218</v>
      </c>
      <c r="R6" s="20">
        <f>(8033*LN((O6+P6)/100)-8033*LN((O6-P6)/100))/2</f>
        <v>296.31400603993916</v>
      </c>
      <c r="S6" s="24">
        <f>(T6+U6)/2</f>
        <v>-2750</v>
      </c>
      <c r="T6" s="23">
        <v>-3300</v>
      </c>
      <c r="U6" s="23">
        <v>-2200</v>
      </c>
      <c r="V6" s="22">
        <f>ABS(T6-U6)/2</f>
        <v>550</v>
      </c>
      <c r="W6" s="21">
        <f>2000-S6</f>
        <v>4750</v>
      </c>
      <c r="X6" s="20">
        <f>2000-T6</f>
        <v>5300</v>
      </c>
      <c r="Y6" s="20">
        <f>2000-U6</f>
        <v>4200</v>
      </c>
      <c r="Z6" s="18">
        <f>ABS(X6-Y6)/2</f>
        <v>550</v>
      </c>
      <c r="AA6" s="2" t="s">
        <v>4</v>
      </c>
      <c r="AB6" s="19">
        <v>17.45</v>
      </c>
      <c r="AC6" s="18">
        <f>AB6-0.5</f>
        <v>16.95</v>
      </c>
      <c r="AE6" s="17"/>
      <c r="AF6" s="46">
        <v>4486</v>
      </c>
      <c r="AG6" s="6">
        <v>250</v>
      </c>
      <c r="AH6" s="5">
        <f>2000-AF6</f>
        <v>-2486</v>
      </c>
      <c r="AI6" s="14">
        <v>41.1</v>
      </c>
      <c r="AJ6" s="15">
        <f>(AO6-100)*10</f>
        <v>26.645885853947959</v>
      </c>
      <c r="AK6" s="14">
        <v>1.6</v>
      </c>
      <c r="AL6" s="13">
        <f>(AI6)/10+100</f>
        <v>104.11</v>
      </c>
      <c r="AM6" s="13">
        <f>AK6/10</f>
        <v>0.16</v>
      </c>
      <c r="AN6" s="12">
        <f>F6/EXP(-(LN(2)/5730)*(AF6))</f>
        <v>92.911452669782292</v>
      </c>
      <c r="AO6" s="11">
        <f>O6/EXP(-(LN(2)/5730)*(AF6))</f>
        <v>102.6645885853948</v>
      </c>
      <c r="AP6" s="10">
        <f>(1-(AN6/AL6))*100</f>
        <v>10.756456949589577</v>
      </c>
      <c r="AQ6" s="9">
        <f>F6</f>
        <v>54</v>
      </c>
      <c r="AR6" s="9">
        <f>H6</f>
        <v>0.7</v>
      </c>
      <c r="AS6" s="8">
        <f>AN6*(AR6/AQ6+AG6/AF6)</f>
        <v>6.3822639764688134</v>
      </c>
      <c r="AT6" s="7">
        <f>AS6+AM6</f>
        <v>6.5422639764688135</v>
      </c>
      <c r="AU6" s="6"/>
      <c r="AV6" s="5">
        <f>AF6-50</f>
        <v>4436</v>
      </c>
      <c r="AW6" s="5">
        <f>AG6</f>
        <v>250</v>
      </c>
      <c r="AX6" s="4">
        <f>-Q6</f>
        <v>4147.9665046695218</v>
      </c>
      <c r="AY6" s="3">
        <f>R6</f>
        <v>296.31400603993916</v>
      </c>
    </row>
    <row r="7" spans="1:51" s="25" customFormat="1" ht="13.5" x14ac:dyDescent="0.25">
      <c r="A7" s="25" t="s">
        <v>2</v>
      </c>
      <c r="B7" s="25" t="s">
        <v>3</v>
      </c>
      <c r="C7" s="19">
        <v>60.3</v>
      </c>
      <c r="D7" s="19">
        <v>248.5</v>
      </c>
      <c r="E7" s="19">
        <f>(279-D7)/10</f>
        <v>3.05</v>
      </c>
      <c r="F7" s="19">
        <v>38.200000000000003</v>
      </c>
      <c r="G7" s="19">
        <f>F7/(1+2*(-25/1000-I7/1000)/(1+I7/1000))</f>
        <v>40.21052631578948</v>
      </c>
      <c r="H7" s="19">
        <v>0.6</v>
      </c>
      <c r="I7" s="19"/>
      <c r="J7" s="19">
        <v>0.1</v>
      </c>
      <c r="K7" s="19"/>
      <c r="L7" s="19">
        <v>0.1</v>
      </c>
      <c r="M7" s="2">
        <v>9.5</v>
      </c>
      <c r="N7" s="19">
        <v>1.5</v>
      </c>
      <c r="O7" s="19">
        <f>F7/((100-M7)/100)</f>
        <v>42.209944751381215</v>
      </c>
      <c r="P7" s="19">
        <f>H7+N7</f>
        <v>2.1</v>
      </c>
      <c r="Q7" s="42">
        <f>8033*LN(O7/100)</f>
        <v>-6928.5776538048876</v>
      </c>
      <c r="R7" s="42">
        <f>(8033*LN((O7+P7)/100)-8033*LN((O7-P7)/100))/2</f>
        <v>399.98249375970045</v>
      </c>
      <c r="S7" s="19">
        <f>(T7+U7)/2</f>
        <v>-5800</v>
      </c>
      <c r="T7" s="45">
        <v>-6200</v>
      </c>
      <c r="U7" s="45">
        <v>-5400</v>
      </c>
      <c r="V7" s="44">
        <f>ABS(T7-U7)/2</f>
        <v>400</v>
      </c>
      <c r="W7" s="43">
        <f>2000-S7</f>
        <v>7800</v>
      </c>
      <c r="X7" s="42">
        <f>2000-T7</f>
        <v>8200</v>
      </c>
      <c r="Y7" s="42">
        <f>2000-U7</f>
        <v>7400</v>
      </c>
      <c r="Z7" s="41">
        <f>ABS(X7-Y7)/2</f>
        <v>400</v>
      </c>
      <c r="AA7" s="25" t="s">
        <v>2</v>
      </c>
      <c r="AB7" s="19">
        <v>3.05</v>
      </c>
      <c r="AC7" s="41">
        <f>AB7-0.5</f>
        <v>2.5499999999999998</v>
      </c>
      <c r="AE7" s="40"/>
      <c r="AF7" s="39">
        <v>10842</v>
      </c>
      <c r="AG7" s="29">
        <v>300</v>
      </c>
      <c r="AH7" s="28">
        <f>2000-AF7</f>
        <v>-8842</v>
      </c>
      <c r="AI7" s="37">
        <v>118</v>
      </c>
      <c r="AJ7" s="38">
        <f>(AO7-100)*10</f>
        <v>566.77872443528088</v>
      </c>
      <c r="AK7" s="37">
        <v>2.8</v>
      </c>
      <c r="AL7" s="36">
        <f>(AI7)/10+100</f>
        <v>111.8</v>
      </c>
      <c r="AM7" s="36">
        <f>AK7/10</f>
        <v>0.27999999999999997</v>
      </c>
      <c r="AN7" s="35">
        <f>F7/EXP(-(LN(2)/5730)*(AF7))</f>
        <v>141.79347456139294</v>
      </c>
      <c r="AO7" s="34">
        <f>O7/EXP(-(LN(2)/5730)*(AF7))</f>
        <v>156.67787244352809</v>
      </c>
      <c r="AP7" s="33">
        <f>(1-(AN7/AL7))*100</f>
        <v>-26.827794777632331</v>
      </c>
      <c r="AQ7" s="32">
        <f>F7</f>
        <v>38.200000000000003</v>
      </c>
      <c r="AR7" s="32">
        <f>H7</f>
        <v>0.6</v>
      </c>
      <c r="AS7" s="31">
        <f>AN7*(AR7/AQ7+AG7/AF7)</f>
        <v>6.1505724035922364</v>
      </c>
      <c r="AT7" s="30">
        <f>AS7+AM7</f>
        <v>6.4305724035922367</v>
      </c>
      <c r="AU7" s="29"/>
      <c r="AV7" s="28">
        <f>AF7-50</f>
        <v>10792</v>
      </c>
      <c r="AW7" s="28">
        <f>AG7</f>
        <v>300</v>
      </c>
      <c r="AX7" s="27">
        <f>-Q7</f>
        <v>6928.5776538048876</v>
      </c>
      <c r="AY7" s="26">
        <f>R7</f>
        <v>399.98249375970045</v>
      </c>
    </row>
    <row r="8" spans="1:51" s="2" customFormat="1" x14ac:dyDescent="0.2">
      <c r="A8" s="2" t="s">
        <v>0</v>
      </c>
      <c r="B8" s="2" t="s">
        <v>1</v>
      </c>
      <c r="C8" s="24">
        <v>51.2</v>
      </c>
      <c r="D8" s="24">
        <v>274</v>
      </c>
      <c r="E8" s="24">
        <f>(279-D8)/10</f>
        <v>0.5</v>
      </c>
      <c r="F8" s="24">
        <v>20.2</v>
      </c>
      <c r="G8" s="24">
        <f>F8/(1+2*(-25/1000-I8/1000)/(1+I8/1000))</f>
        <v>21.263157894736842</v>
      </c>
      <c r="H8" s="24">
        <v>0.4</v>
      </c>
      <c r="I8" s="19"/>
      <c r="J8" s="24">
        <v>0.1</v>
      </c>
      <c r="K8" s="19"/>
      <c r="L8" s="24">
        <v>0.1</v>
      </c>
      <c r="M8" s="2">
        <v>9.5</v>
      </c>
      <c r="N8" s="24">
        <v>1.5</v>
      </c>
      <c r="O8" s="24">
        <f>F8/((100-M8)/100)</f>
        <v>22.320441988950275</v>
      </c>
      <c r="P8" s="24">
        <f>H8+N8</f>
        <v>1.9</v>
      </c>
      <c r="Q8" s="20">
        <f>8033*LN(O8/100)</f>
        <v>-12046.826989517627</v>
      </c>
      <c r="R8" s="20">
        <f>(8033*LN((O8+P8)/100)-8033*LN((O8-P8)/100))/2</f>
        <v>685.45801664075407</v>
      </c>
      <c r="S8" s="24">
        <f>(T8+U8)/2</f>
        <v>-12200</v>
      </c>
      <c r="T8" s="23">
        <v>-13100</v>
      </c>
      <c r="U8" s="23">
        <v>-11300</v>
      </c>
      <c r="V8" s="22">
        <f>ABS(T8-U8)/2</f>
        <v>900</v>
      </c>
      <c r="W8" s="21">
        <f>2000-S8</f>
        <v>14200</v>
      </c>
      <c r="X8" s="20">
        <f>2000-T8</f>
        <v>15100</v>
      </c>
      <c r="Y8" s="20">
        <f>2000-U8</f>
        <v>13300</v>
      </c>
      <c r="Z8" s="18">
        <f>ABS(X8-Y8)/2</f>
        <v>900</v>
      </c>
      <c r="AA8" s="2" t="s">
        <v>0</v>
      </c>
      <c r="AB8" s="19">
        <v>0.5</v>
      </c>
      <c r="AC8" s="18">
        <f>AB8-0.5</f>
        <v>0</v>
      </c>
      <c r="AE8" s="17"/>
      <c r="AF8" s="16">
        <v>12296</v>
      </c>
      <c r="AG8" s="6">
        <v>350</v>
      </c>
      <c r="AH8" s="5">
        <f>2000-AF8</f>
        <v>-10296</v>
      </c>
      <c r="AI8" s="14">
        <v>219.8</v>
      </c>
      <c r="AJ8" s="15">
        <f>(AO8-100)*10</f>
        <v>-12.16891091223701</v>
      </c>
      <c r="AK8" s="14">
        <v>13.8</v>
      </c>
      <c r="AL8" s="13">
        <f>(AI8)/10+100</f>
        <v>121.98</v>
      </c>
      <c r="AM8" s="13">
        <f>AK8/10</f>
        <v>1.3800000000000001</v>
      </c>
      <c r="AN8" s="12">
        <f>F8/EXP(-(LN(2)/5730)*(AF8))</f>
        <v>89.398713562442552</v>
      </c>
      <c r="AO8" s="11">
        <f>O8/EXP(-(LN(2)/5730)*(AF8))</f>
        <v>98.783108908776299</v>
      </c>
      <c r="AP8" s="10">
        <f>(1-(AN8/AL8))*100</f>
        <v>26.710351235905438</v>
      </c>
      <c r="AQ8" s="9">
        <f>F8</f>
        <v>20.2</v>
      </c>
      <c r="AR8" s="9">
        <f>H8</f>
        <v>0.4</v>
      </c>
      <c r="AS8" s="8">
        <f>AN8*(AR8/AQ8+AG8/AF8)</f>
        <v>4.3149649313307483</v>
      </c>
      <c r="AT8" s="7">
        <f>AS8+AM8</f>
        <v>5.6949649313307482</v>
      </c>
      <c r="AU8" s="6"/>
      <c r="AV8" s="5">
        <f>AF8-50</f>
        <v>12246</v>
      </c>
      <c r="AW8" s="5">
        <f>AG8</f>
        <v>350</v>
      </c>
      <c r="AX8" s="4">
        <f>-Q8</f>
        <v>12046.826989517627</v>
      </c>
      <c r="AY8" s="3">
        <f>R8</f>
        <v>685.45801664075407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vil2-dcp=9.5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2023-06-23T08:33:47Z</dcterms:created>
  <dcterms:modified xsi:type="dcterms:W3CDTF">2023-06-23T08:34:10Z</dcterms:modified>
</cp:coreProperties>
</file>