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G\STM\FRANCE\VILLARS\Vilstm14\"/>
    </mc:Choice>
  </mc:AlternateContent>
  <xr:revisionPtr revIDLastSave="0" documentId="8_{3220C4CB-DBFD-4DBF-9B66-AEF64F61DAF3}" xr6:coauthVersionLast="36" xr6:coauthVersionMax="36" xr10:uidLastSave="{00000000-0000-0000-0000-000000000000}"/>
  <bookViews>
    <workbookView xWindow="240" yWindow="360" windowWidth="14952" windowHeight="7680"/>
  </bookViews>
  <sheets>
    <sheet name="vil14" sheetId="1" r:id="rId1"/>
  </sheets>
  <externalReferences>
    <externalReference r:id="rId2"/>
    <externalReference r:id="rId3"/>
    <externalReference r:id="rId4"/>
    <externalReference r:id="rId5"/>
  </externalReferences>
  <definedNames>
    <definedName name="Cortij">[2]SPECMAP!$L$8:$N$146</definedName>
    <definedName name="Cortijo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9">#REF!</definedName>
    <definedName name="_gXY1">#REF!</definedName>
    <definedName name="Imbrie">#REF!</definedName>
    <definedName name="Labeyrie">#REF!</definedName>
    <definedName name="Martinson">#REF!</definedName>
    <definedName name="MD">[3]SPECMAP!$L$8:$N$146</definedName>
    <definedName name="rr">#REF!</definedName>
    <definedName name="rs">#REF!</definedName>
    <definedName name="rt">#REF!</definedName>
    <definedName name="toto">[1]SPECMAP!$L$8:$N$146</definedName>
    <definedName name="Vogelsang">#REF!</definedName>
    <definedName name="Waelbroeck">#REF!</definedName>
  </definedNames>
  <calcPr calcId="191029"/>
</workbook>
</file>

<file path=xl/calcChain.xml><?xml version="1.0" encoding="utf-8"?>
<calcChain xmlns="http://schemas.openxmlformats.org/spreadsheetml/2006/main">
  <c r="C2" i="1" l="1"/>
  <c r="U2" i="1"/>
  <c r="V2" i="1"/>
  <c r="A3" i="1"/>
  <c r="C3" i="1"/>
  <c r="K3" i="1"/>
  <c r="C4" i="1"/>
  <c r="K4" i="1"/>
  <c r="C5" i="1"/>
  <c r="K5" i="1" s="1"/>
  <c r="A6" i="1"/>
  <c r="C6" i="1"/>
  <c r="K6" i="1" s="1"/>
  <c r="C7" i="1"/>
  <c r="K7" i="1" s="1"/>
  <c r="C8" i="1"/>
  <c r="K8" i="1"/>
  <c r="C9" i="1"/>
  <c r="K9" i="1"/>
  <c r="C10" i="1"/>
  <c r="K10" i="1" s="1"/>
  <c r="C11" i="1"/>
  <c r="C12" i="1"/>
  <c r="K12" i="1"/>
  <c r="C13" i="1"/>
  <c r="K13" i="1" s="1"/>
  <c r="C14" i="1"/>
  <c r="P15" i="1" s="1"/>
  <c r="H14" i="1"/>
  <c r="I14" i="1"/>
  <c r="T14" i="1"/>
  <c r="V14" i="1"/>
  <c r="A15" i="1"/>
  <c r="C15" i="1"/>
  <c r="K15" i="1"/>
  <c r="W15" i="1"/>
  <c r="W16" i="1" s="1"/>
  <c r="X15" i="1"/>
  <c r="C16" i="1"/>
  <c r="K16" i="1"/>
  <c r="X16" i="1"/>
  <c r="C17" i="1"/>
  <c r="K17" i="1"/>
  <c r="A18" i="1"/>
  <c r="C18" i="1"/>
  <c r="K18" i="1"/>
  <c r="C19" i="1"/>
  <c r="K19" i="1" s="1"/>
  <c r="C20" i="1"/>
  <c r="K20" i="1"/>
  <c r="C21" i="1"/>
  <c r="K21" i="1"/>
  <c r="C22" i="1"/>
  <c r="K22" i="1" s="1"/>
  <c r="A23" i="1"/>
  <c r="C23" i="1"/>
  <c r="K23" i="1" s="1"/>
  <c r="C24" i="1"/>
  <c r="C25" i="1"/>
  <c r="K25" i="1"/>
  <c r="A26" i="1"/>
  <c r="C26" i="1"/>
  <c r="K26" i="1" s="1"/>
  <c r="C27" i="1"/>
  <c r="K28" i="1" s="1"/>
  <c r="K27" i="1"/>
  <c r="H28" i="1"/>
  <c r="I28" i="1"/>
  <c r="A29" i="1"/>
  <c r="C29" i="1"/>
  <c r="K29" i="1" s="1"/>
  <c r="P29" i="1"/>
  <c r="R29" i="1"/>
  <c r="S29" i="1"/>
  <c r="Q29" i="1" s="1"/>
  <c r="T29" i="1"/>
  <c r="A30" i="1"/>
  <c r="C30" i="1"/>
  <c r="K30" i="1" s="1"/>
  <c r="C31" i="1"/>
  <c r="K31" i="1"/>
  <c r="C32" i="1"/>
  <c r="K32" i="1"/>
  <c r="C33" i="1"/>
  <c r="K33" i="1" s="1"/>
  <c r="C34" i="1"/>
  <c r="K34" i="1" s="1"/>
  <c r="C35" i="1"/>
  <c r="K35" i="1" s="1"/>
  <c r="C36" i="1"/>
  <c r="K36" i="1"/>
  <c r="C37" i="1"/>
  <c r="K37" i="1"/>
  <c r="C38" i="1"/>
  <c r="K38" i="1" s="1"/>
  <c r="C39" i="1"/>
  <c r="K39" i="1"/>
  <c r="C40" i="1"/>
  <c r="K40" i="1"/>
  <c r="H41" i="1"/>
  <c r="I41" i="1"/>
  <c r="K41" i="1"/>
  <c r="A42" i="1"/>
  <c r="C42" i="1"/>
  <c r="K42" i="1" s="1"/>
  <c r="P42" i="1"/>
  <c r="R42" i="1"/>
  <c r="S42" i="1"/>
  <c r="Q42" i="1" s="1"/>
  <c r="T42" i="1"/>
  <c r="A43" i="1"/>
  <c r="C43" i="1"/>
  <c r="K43" i="1"/>
  <c r="C44" i="1"/>
  <c r="K44" i="1"/>
  <c r="C45" i="1"/>
  <c r="K45" i="1" s="1"/>
  <c r="C46" i="1"/>
  <c r="K46" i="1" s="1"/>
  <c r="C47" i="1"/>
  <c r="K47" i="1" s="1"/>
  <c r="C48" i="1"/>
  <c r="K48" i="1"/>
  <c r="C49" i="1"/>
  <c r="K49" i="1"/>
  <c r="C50" i="1"/>
  <c r="K51" i="1" s="1"/>
  <c r="H50" i="1"/>
  <c r="I50" i="1"/>
  <c r="K50" i="1"/>
  <c r="C51" i="1"/>
  <c r="K52" i="1" s="1"/>
  <c r="A53" i="1"/>
  <c r="C53" i="1"/>
  <c r="K53" i="1" s="1"/>
  <c r="C54" i="1"/>
  <c r="K54" i="1" s="1"/>
  <c r="C55" i="1"/>
  <c r="K55" i="1"/>
  <c r="C56" i="1"/>
  <c r="K56" i="1"/>
  <c r="C57" i="1"/>
  <c r="K57" i="1" s="1"/>
  <c r="C58" i="1"/>
  <c r="K58" i="1"/>
  <c r="C59" i="1"/>
  <c r="K59" i="1"/>
  <c r="C60" i="1"/>
  <c r="K60" i="1" s="1"/>
  <c r="H61" i="1"/>
  <c r="I61" i="1"/>
  <c r="K61" i="1"/>
  <c r="A62" i="1"/>
  <c r="C62" i="1"/>
  <c r="K62" i="1"/>
  <c r="P62" i="1"/>
  <c r="C63" i="1"/>
  <c r="K64" i="1" s="1"/>
  <c r="K63" i="1"/>
  <c r="C64" i="1"/>
  <c r="C65" i="1"/>
  <c r="K65" i="1" s="1"/>
  <c r="C66" i="1"/>
  <c r="K66" i="1" s="1"/>
  <c r="C67" i="1"/>
  <c r="K67" i="1"/>
  <c r="C68" i="1"/>
  <c r="K68" i="1"/>
  <c r="C69" i="1"/>
  <c r="K69" i="1"/>
  <c r="H70" i="1"/>
  <c r="I70" i="1"/>
  <c r="K70" i="1"/>
  <c r="A71" i="1"/>
  <c r="C71" i="1"/>
  <c r="K71" i="1"/>
  <c r="C72" i="1"/>
  <c r="K72" i="1" s="1"/>
  <c r="C73" i="1"/>
  <c r="K73" i="1" s="1"/>
  <c r="P73" i="1"/>
  <c r="C74" i="1"/>
  <c r="K74" i="1" s="1"/>
  <c r="C75" i="1"/>
  <c r="K75" i="1" s="1"/>
  <c r="C76" i="1"/>
  <c r="K76" i="1"/>
  <c r="C77" i="1"/>
  <c r="K77" i="1"/>
  <c r="C78" i="1"/>
  <c r="K78" i="1" s="1"/>
  <c r="C79" i="1"/>
  <c r="K79" i="1"/>
  <c r="C80" i="1"/>
  <c r="K80" i="1"/>
  <c r="H81" i="1"/>
  <c r="I81" i="1"/>
  <c r="K81" i="1"/>
  <c r="A82" i="1"/>
  <c r="C82" i="1"/>
  <c r="K82" i="1" s="1"/>
  <c r="C83" i="1"/>
  <c r="K83" i="1"/>
  <c r="C84" i="1"/>
  <c r="K84" i="1"/>
  <c r="P84" i="1"/>
  <c r="C85" i="1"/>
  <c r="K85" i="1"/>
  <c r="C86" i="1"/>
  <c r="K86" i="1" s="1"/>
  <c r="C87" i="1"/>
  <c r="K87" i="1" s="1"/>
  <c r="C88" i="1"/>
  <c r="K88" i="1"/>
  <c r="C89" i="1"/>
  <c r="K89" i="1"/>
  <c r="C90" i="1"/>
  <c r="K90" i="1"/>
  <c r="C91" i="1"/>
  <c r="K91" i="1"/>
  <c r="H92" i="1"/>
  <c r="I92" i="1"/>
  <c r="K92" i="1"/>
  <c r="A93" i="1"/>
  <c r="C93" i="1"/>
  <c r="K93" i="1" s="1"/>
  <c r="A94" i="1"/>
  <c r="C94" i="1"/>
  <c r="C95" i="1"/>
  <c r="K95" i="1" s="1"/>
  <c r="C96" i="1"/>
  <c r="K97" i="1" s="1"/>
  <c r="C97" i="1"/>
  <c r="C98" i="1"/>
  <c r="C99" i="1"/>
  <c r="K99" i="1"/>
  <c r="C100" i="1"/>
  <c r="K101" i="1" s="1"/>
  <c r="C101" i="1"/>
  <c r="C102" i="1"/>
  <c r="K103" i="1" s="1"/>
  <c r="C103" i="1"/>
  <c r="C104" i="1"/>
  <c r="K104" i="1"/>
  <c r="C105" i="1"/>
  <c r="K105" i="1" s="1"/>
  <c r="H105" i="1"/>
  <c r="I105" i="1"/>
  <c r="C106" i="1"/>
  <c r="H106" i="1"/>
  <c r="I106" i="1"/>
  <c r="C107" i="1"/>
  <c r="K107" i="1" s="1"/>
  <c r="C108" i="1"/>
  <c r="K108" i="1"/>
  <c r="C109" i="1"/>
  <c r="P94" i="1" s="1"/>
  <c r="K109" i="1"/>
  <c r="H110" i="1"/>
  <c r="I110" i="1"/>
  <c r="K110" i="1"/>
  <c r="A111" i="1"/>
  <c r="C111" i="1"/>
  <c r="K111" i="1" s="1"/>
  <c r="A112" i="1"/>
  <c r="C112" i="1"/>
  <c r="K112" i="1"/>
  <c r="C113" i="1"/>
  <c r="K113" i="1"/>
  <c r="P113" i="1"/>
  <c r="C114" i="1"/>
  <c r="K114" i="1"/>
  <c r="C115" i="1"/>
  <c r="K115" i="1"/>
  <c r="C116" i="1"/>
  <c r="K116" i="1"/>
  <c r="C117" i="1"/>
  <c r="K117" i="1" s="1"/>
  <c r="C118" i="1"/>
  <c r="K118" i="1" s="1"/>
  <c r="C119" i="1"/>
  <c r="K119" i="1"/>
  <c r="C120" i="1"/>
  <c r="K120" i="1"/>
  <c r="H121" i="1"/>
  <c r="I121" i="1"/>
  <c r="K121" i="1"/>
  <c r="A122" i="1"/>
  <c r="C122" i="1"/>
  <c r="K122" i="1"/>
  <c r="A123" i="1"/>
  <c r="C123" i="1"/>
  <c r="C124" i="1"/>
  <c r="K124" i="1" s="1"/>
  <c r="C125" i="1"/>
  <c r="K125" i="1" s="1"/>
  <c r="C126" i="1"/>
  <c r="K126" i="1"/>
  <c r="P126" i="1"/>
  <c r="C127" i="1"/>
  <c r="K128" i="1" s="1"/>
  <c r="K127" i="1"/>
  <c r="C128" i="1"/>
  <c r="C129" i="1"/>
  <c r="K129" i="1" s="1"/>
  <c r="H130" i="1"/>
  <c r="I130" i="1"/>
  <c r="A131" i="1"/>
  <c r="C131" i="1"/>
  <c r="K131" i="1"/>
  <c r="C132" i="1"/>
  <c r="K132" i="1"/>
  <c r="P132" i="1"/>
  <c r="C133" i="1"/>
  <c r="K133" i="1"/>
  <c r="C134" i="1"/>
  <c r="K134" i="1" s="1"/>
  <c r="C135" i="1"/>
  <c r="C136" i="1"/>
  <c r="K136" i="1" s="1"/>
  <c r="C137" i="1"/>
  <c r="K137" i="1" s="1"/>
  <c r="C138" i="1"/>
  <c r="K138" i="1"/>
  <c r="C139" i="1"/>
  <c r="K139" i="1"/>
  <c r="H140" i="1"/>
  <c r="I140" i="1"/>
  <c r="K140" i="1"/>
  <c r="A141" i="1"/>
  <c r="C141" i="1"/>
  <c r="K142" i="1" s="1"/>
  <c r="K141" i="1"/>
  <c r="C142" i="1"/>
  <c r="P142" i="1"/>
  <c r="C143" i="1"/>
  <c r="K143" i="1"/>
  <c r="C144" i="1"/>
  <c r="K144" i="1" s="1"/>
  <c r="C145" i="1"/>
  <c r="K145" i="1" s="1"/>
  <c r="C146" i="1"/>
  <c r="K146" i="1" s="1"/>
  <c r="C147" i="1"/>
  <c r="K147" i="1"/>
  <c r="C148" i="1"/>
  <c r="K148" i="1"/>
  <c r="C149" i="1"/>
  <c r="P152" i="1" s="1"/>
  <c r="C150" i="1"/>
  <c r="I158" i="1" s="1"/>
  <c r="I159" i="1" s="1"/>
  <c r="H153" i="1"/>
  <c r="I153" i="1"/>
  <c r="H154" i="1"/>
  <c r="I154" i="1"/>
  <c r="K11" i="1" l="1"/>
  <c r="K153" i="1" s="1"/>
  <c r="K149" i="1"/>
  <c r="S14" i="1"/>
  <c r="Q14" i="1" s="1"/>
  <c r="R14" i="1"/>
  <c r="K106" i="1"/>
  <c r="K24" i="1"/>
  <c r="K14" i="1"/>
  <c r="T2" i="1"/>
  <c r="S2" i="1"/>
  <c r="Q3" i="1" s="1"/>
  <c r="K130" i="1"/>
  <c r="R2" i="1"/>
  <c r="Q2" i="1" s="1"/>
  <c r="Q4" i="1" s="1"/>
  <c r="P2" i="1"/>
  <c r="T3" i="1" l="1"/>
  <c r="T4" i="1" s="1"/>
  <c r="K152" i="1"/>
</calcChain>
</file>

<file path=xl/sharedStrings.xml><?xml version="1.0" encoding="utf-8"?>
<sst xmlns="http://schemas.openxmlformats.org/spreadsheetml/2006/main" count="59" uniqueCount="38">
  <si>
    <t>Niveau/top</t>
  </si>
  <si>
    <t>U-Th-Age (a)</t>
  </si>
  <si>
    <t>errmoy (a)</t>
  </si>
  <si>
    <t>∂18O PDB</t>
  </si>
  <si>
    <t>∂13C PDB</t>
  </si>
  <si>
    <t>localisation U-Th</t>
  </si>
  <si>
    <t>Stalagmite Villars plancher 14</t>
  </si>
  <si>
    <t>locuth-grapher</t>
  </si>
  <si>
    <t>mm/ka</t>
  </si>
  <si>
    <t>inter min</t>
  </si>
  <si>
    <t>interpextre</t>
  </si>
  <si>
    <t>id+err cote U-th</t>
  </si>
  <si>
    <t>U-th-C</t>
  </si>
  <si>
    <t>*</t>
  </si>
  <si>
    <t>cm:an</t>
  </si>
  <si>
    <t>cm/ka</t>
  </si>
  <si>
    <t>U-Th-G</t>
  </si>
  <si>
    <t>cm/an</t>
  </si>
  <si>
    <t>1cm/155</t>
  </si>
  <si>
    <t>U-Th-B</t>
  </si>
  <si>
    <t>U-Th-H</t>
  </si>
  <si>
    <t>U-Th-I</t>
  </si>
  <si>
    <t>U-Th-E</t>
  </si>
  <si>
    <t>U-Th-J</t>
  </si>
  <si>
    <t>U-Th-K</t>
  </si>
  <si>
    <t>U-Th-L</t>
  </si>
  <si>
    <t>U-Th-M</t>
  </si>
  <si>
    <t>U-Th-N</t>
  </si>
  <si>
    <t>U-TH-F</t>
  </si>
  <si>
    <t>U-Th-A</t>
  </si>
  <si>
    <t>U-Th-O</t>
  </si>
  <si>
    <t>U-Th-P</t>
  </si>
  <si>
    <t>U-Th-Q</t>
  </si>
  <si>
    <t>U-Th-R</t>
  </si>
  <si>
    <t>U-Th-D</t>
  </si>
  <si>
    <t>max</t>
  </si>
  <si>
    <t>min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</si>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</sst>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00"/>
    <numFmt numFmtId="206" formatCode="_-&quot;L.&quot;\ * #,##0_-;\-&quot;L.&quot;\ * #,##0_-;_-&quot;L.&quot;\ * &quot;-&quot;_-;_-@_-"/>
    <numFmt numFmtId="207" formatCode="_-&quot;L.&quot;\ * #,##0.00_-;\-&quot;L.&quot;\ * #,##0.00_-;_-&quot;L.&quot;\ * &quot;-&quot;??_-;_-@_-"/>
  </numFmts>
  <fonts count="41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10"/>
      <name val="Arial"/>
      <family val="2"/>
    </font>
    <font>
      <sz val="8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48"/>
      <name val="Verdana"/>
      <family val="2"/>
    </font>
    <font>
      <sz val="8"/>
      <name val="Verdana"/>
      <family val="2"/>
    </font>
    <font>
      <sz val="10"/>
      <color indexed="10"/>
      <name val="Arial"/>
      <family val="2"/>
    </font>
    <font>
      <b/>
      <i/>
      <sz val="10"/>
      <color indexed="10"/>
      <name val="Verdana"/>
      <family val="2"/>
    </font>
    <font>
      <i/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Geneva"/>
    </font>
    <font>
      <b/>
      <i/>
      <sz val="10"/>
      <color indexed="10"/>
      <name val="Geneva"/>
    </font>
    <font>
      <i/>
      <sz val="10"/>
      <color indexed="10"/>
      <name val="Verdana"/>
      <family val="2"/>
    </font>
    <font>
      <sz val="10"/>
      <color indexed="48"/>
      <name val="Verdana"/>
      <family val="2"/>
    </font>
    <font>
      <b/>
      <i/>
      <sz val="10"/>
      <color indexed="10"/>
      <name val="Verdana"/>
      <family val="2"/>
    </font>
    <font>
      <b/>
      <i/>
      <sz val="10"/>
      <color indexed="53"/>
      <name val="Verdana"/>
      <family val="2"/>
    </font>
    <font>
      <b/>
      <i/>
      <sz val="10"/>
      <color indexed="53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9">
    <xf numFmtId="0" fontId="0" fillId="0" borderId="0" xfId="0"/>
    <xf numFmtId="0" fontId="18" fillId="0" borderId="10" xfId="0" applyFont="1" applyBorder="1" applyAlignment="1">
      <alignment horizontal="center" wrapText="1"/>
    </xf>
    <xf numFmtId="2" fontId="18" fillId="0" borderId="10" xfId="0" applyNumberFormat="1" applyFont="1" applyBorder="1" applyAlignment="1">
      <alignment horizontal="center" wrapText="1"/>
    </xf>
    <xf numFmtId="1" fontId="18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Border="1" applyAlignment="1">
      <alignment horizontal="center" wrapText="1"/>
    </xf>
    <xf numFmtId="2" fontId="26" fillId="0" borderId="0" xfId="0" applyNumberFormat="1" applyFont="1" applyBorder="1" applyAlignment="1">
      <alignment horizontal="center" wrapText="1"/>
    </xf>
    <xf numFmtId="1" fontId="27" fillId="0" borderId="0" xfId="0" applyNumberFormat="1" applyFont="1" applyAlignment="1">
      <alignment horizontal="center"/>
    </xf>
    <xf numFmtId="1" fontId="26" fillId="0" borderId="0" xfId="0" applyNumberFormat="1" applyFont="1" applyBorder="1" applyAlignment="1">
      <alignment horizontal="center" wrapText="1"/>
    </xf>
    <xf numFmtId="2" fontId="25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172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9" fillId="24" borderId="11" xfId="0" applyFont="1" applyFill="1" applyBorder="1"/>
    <xf numFmtId="0" fontId="29" fillId="24" borderId="12" xfId="0" applyFont="1" applyFill="1" applyBorder="1"/>
    <xf numFmtId="1" fontId="18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2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18" fillId="24" borderId="11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72" fontId="0" fillId="0" borderId="13" xfId="0" applyNumberFormat="1" applyBorder="1"/>
    <xf numFmtId="172" fontId="0" fillId="0" borderId="0" xfId="0" applyNumberFormat="1"/>
    <xf numFmtId="14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24" borderId="11" xfId="0" applyFont="1" applyFill="1" applyBorder="1" applyAlignment="1">
      <alignment horizontal="center"/>
    </xf>
    <xf numFmtId="1" fontId="30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2" fillId="24" borderId="11" xfId="0" applyFont="1" applyFill="1" applyBorder="1"/>
    <xf numFmtId="0" fontId="33" fillId="24" borderId="11" xfId="0" applyFont="1" applyFill="1" applyBorder="1"/>
    <xf numFmtId="0" fontId="34" fillId="0" borderId="0" xfId="0" applyFont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32" fillId="24" borderId="11" xfId="0" applyFont="1" applyFill="1" applyBorder="1" applyAlignment="1">
      <alignment horizontal="center"/>
    </xf>
    <xf numFmtId="0" fontId="33" fillId="24" borderId="11" xfId="0" applyFont="1" applyFill="1" applyBorder="1" applyAlignment="1">
      <alignment horizontal="center"/>
    </xf>
    <xf numFmtId="1" fontId="26" fillId="24" borderId="11" xfId="0" applyNumberFormat="1" applyFont="1" applyFill="1" applyBorder="1" applyAlignment="1">
      <alignment horizontal="center"/>
    </xf>
    <xf numFmtId="2" fontId="0" fillId="24" borderId="11" xfId="0" applyNumberFormat="1" applyFill="1" applyBorder="1" applyAlignment="1">
      <alignment horizontal="center"/>
    </xf>
    <xf numFmtId="14" fontId="1" fillId="25" borderId="0" xfId="0" applyNumberFormat="1" applyFont="1" applyFill="1" applyAlignment="1">
      <alignment horizontal="center"/>
    </xf>
    <xf numFmtId="2" fontId="26" fillId="0" borderId="0" xfId="0" applyNumberFormat="1" applyFont="1" applyAlignment="1">
      <alignment horizontal="center"/>
    </xf>
    <xf numFmtId="2" fontId="1" fillId="24" borderId="11" xfId="0" applyNumberFormat="1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36" fillId="24" borderId="11" xfId="0" applyNumberFormat="1" applyFont="1" applyFill="1" applyBorder="1" applyAlignment="1">
      <alignment horizontal="center"/>
    </xf>
    <xf numFmtId="0" fontId="36" fillId="24" borderId="11" xfId="0" applyFont="1" applyFill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38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" fontId="0" fillId="0" borderId="13" xfId="0" applyNumberFormat="1" applyBorder="1"/>
    <xf numFmtId="172" fontId="38" fillId="0" borderId="0" xfId="0" applyNumberFormat="1" applyFont="1" applyAlignment="1">
      <alignment horizontal="center"/>
    </xf>
    <xf numFmtId="14" fontId="0" fillId="24" borderId="0" xfId="0" applyNumberFormat="1" applyFill="1" applyAlignment="1">
      <alignment horizontal="center"/>
    </xf>
    <xf numFmtId="2" fontId="18" fillId="24" borderId="0" xfId="0" applyNumberFormat="1" applyFont="1" applyFill="1" applyAlignment="1">
      <alignment horizontal="center"/>
    </xf>
    <xf numFmtId="1" fontId="18" fillId="24" borderId="0" xfId="0" applyNumberFormat="1" applyFont="1" applyFill="1" applyAlignment="1">
      <alignment horizontal="center"/>
    </xf>
    <xf numFmtId="0" fontId="18" fillId="24" borderId="0" xfId="0" applyFont="1" applyFill="1" applyAlignment="1">
      <alignment horizontal="center"/>
    </xf>
    <xf numFmtId="2" fontId="25" fillId="24" borderId="0" xfId="0" applyNumberFormat="1" applyFont="1" applyFill="1" applyAlignment="1">
      <alignment horizontal="center"/>
    </xf>
    <xf numFmtId="0" fontId="34" fillId="24" borderId="0" xfId="0" applyFont="1" applyFill="1" applyAlignment="1">
      <alignment horizontal="center"/>
    </xf>
    <xf numFmtId="14" fontId="39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4" fontId="38" fillId="0" borderId="0" xfId="0" applyNumberFormat="1" applyFont="1" applyAlignment="1">
      <alignment horizontal="center"/>
    </xf>
    <xf numFmtId="1" fontId="30" fillId="24" borderId="11" xfId="0" applyNumberFormat="1" applyFont="1" applyFill="1" applyBorder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2" fontId="34" fillId="0" borderId="0" xfId="0" applyNumberFormat="1" applyFont="1" applyAlignment="1">
      <alignment horizontal="center"/>
    </xf>
    <xf numFmtId="0" fontId="33" fillId="0" borderId="11" xfId="0" applyFont="1" applyBorder="1" applyAlignment="1">
      <alignment horizontal="center"/>
    </xf>
    <xf numFmtId="1" fontId="38" fillId="24" borderId="11" xfId="0" applyNumberFormat="1" applyFont="1" applyFill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172" fontId="0" fillId="24" borderId="13" xfId="0" applyNumberFormat="1" applyFill="1" applyBorder="1"/>
    <xf numFmtId="172" fontId="0" fillId="24" borderId="0" xfId="0" applyNumberFormat="1" applyFill="1"/>
    <xf numFmtId="2" fontId="0" fillId="26" borderId="0" xfId="0" applyNumberFormat="1" applyFill="1" applyAlignment="1">
      <alignment horizontal="center"/>
    </xf>
    <xf numFmtId="2" fontId="0" fillId="24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center"/>
    </xf>
    <xf numFmtId="0" fontId="26" fillId="24" borderId="1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</cellXfs>
  <cellStyles count="46">
    <cellStyle name="_ngr_ch4_do9-17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te" xfId="39" builtinId="10" customBuiltin="1"/>
    <cellStyle name="Output" xfId="40"/>
    <cellStyle name="Style 1" xfId="1"/>
    <cellStyle name="Title" xfId="41"/>
    <cellStyle name="Total" xfId="42" builtinId="25" customBuiltin="1"/>
    <cellStyle name="Valuta (0)_CC1 for paper.xls Grafico 6" xfId="43"/>
    <cellStyle name="Valuta_CC1 for paper.xls Grafico 6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220464127536"/>
          <c:y val="3.83643471330263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934306972758946"/>
          <c:y val="0.19949460509173689"/>
          <c:w val="0.47449506964082228"/>
          <c:h val="0.654751524403649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'vil14'!$D$1</c:f>
              <c:strCache>
                <c:ptCount val="1"/>
                <c:pt idx="0">
                  <c:v>U-Th-Age (a)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56329123636250555"/>
                  <c:y val="-0.1123286126604413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'vil14'!$B$2:$B$171</c:f>
              <c:numCache>
                <c:formatCode>0.00</c:formatCode>
                <c:ptCount val="170"/>
                <c:pt idx="0">
                  <c:v>0.7</c:v>
                </c:pt>
                <c:pt idx="1">
                  <c:v>1.4</c:v>
                </c:pt>
                <c:pt idx="2">
                  <c:v>1.85</c:v>
                </c:pt>
                <c:pt idx="3">
                  <c:v>2.0499999999999998</c:v>
                </c:pt>
                <c:pt idx="4">
                  <c:v>2.5499999999999998</c:v>
                </c:pt>
                <c:pt idx="5">
                  <c:v>2.85</c:v>
                </c:pt>
                <c:pt idx="6">
                  <c:v>3.25</c:v>
                </c:pt>
                <c:pt idx="7">
                  <c:v>3.75</c:v>
                </c:pt>
                <c:pt idx="8">
                  <c:v>4.0999999999999996</c:v>
                </c:pt>
                <c:pt idx="9">
                  <c:v>4.5</c:v>
                </c:pt>
                <c:pt idx="10">
                  <c:v>4.8499999999999996</c:v>
                </c:pt>
                <c:pt idx="11">
                  <c:v>5.35</c:v>
                </c:pt>
                <c:pt idx="12">
                  <c:v>5.45</c:v>
                </c:pt>
                <c:pt idx="13">
                  <c:v>5.75</c:v>
                </c:pt>
                <c:pt idx="14">
                  <c:v>6.15</c:v>
                </c:pt>
                <c:pt idx="15">
                  <c:v>6.55</c:v>
                </c:pt>
                <c:pt idx="16">
                  <c:v>7</c:v>
                </c:pt>
                <c:pt idx="17">
                  <c:v>7.35</c:v>
                </c:pt>
                <c:pt idx="18">
                  <c:v>7.7</c:v>
                </c:pt>
                <c:pt idx="19">
                  <c:v>8.1</c:v>
                </c:pt>
                <c:pt idx="20">
                  <c:v>8.5500000000000007</c:v>
                </c:pt>
                <c:pt idx="21">
                  <c:v>8.9</c:v>
                </c:pt>
                <c:pt idx="22">
                  <c:v>9.15</c:v>
                </c:pt>
                <c:pt idx="23">
                  <c:v>9.3000000000000007</c:v>
                </c:pt>
                <c:pt idx="24">
                  <c:v>10.199999999999999</c:v>
                </c:pt>
                <c:pt idx="25">
                  <c:v>10.7</c:v>
                </c:pt>
                <c:pt idx="26" formatCode="General">
                  <c:v>10.9</c:v>
                </c:pt>
                <c:pt idx="27">
                  <c:v>11.15</c:v>
                </c:pt>
                <c:pt idx="28">
                  <c:v>11.7</c:v>
                </c:pt>
                <c:pt idx="29">
                  <c:v>12</c:v>
                </c:pt>
                <c:pt idx="30">
                  <c:v>12.4</c:v>
                </c:pt>
                <c:pt idx="31">
                  <c:v>13.15</c:v>
                </c:pt>
                <c:pt idx="32">
                  <c:v>13.5</c:v>
                </c:pt>
                <c:pt idx="33">
                  <c:v>13.8</c:v>
                </c:pt>
                <c:pt idx="34">
                  <c:v>14.2</c:v>
                </c:pt>
                <c:pt idx="35">
                  <c:v>14.6</c:v>
                </c:pt>
                <c:pt idx="36">
                  <c:v>14.8</c:v>
                </c:pt>
                <c:pt idx="37">
                  <c:v>15.4</c:v>
                </c:pt>
                <c:pt idx="38">
                  <c:v>16.2</c:v>
                </c:pt>
                <c:pt idx="39">
                  <c:v>16.75</c:v>
                </c:pt>
                <c:pt idx="40">
                  <c:v>16.8</c:v>
                </c:pt>
                <c:pt idx="41">
                  <c:v>17.2</c:v>
                </c:pt>
                <c:pt idx="42">
                  <c:v>17.8</c:v>
                </c:pt>
                <c:pt idx="43">
                  <c:v>18.399999999999999</c:v>
                </c:pt>
                <c:pt idx="44">
                  <c:v>18.95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20.75</c:v>
                </c:pt>
                <c:pt idx="48">
                  <c:v>21.2</c:v>
                </c:pt>
                <c:pt idx="49">
                  <c:v>21.3</c:v>
                </c:pt>
                <c:pt idx="50">
                  <c:v>21.85</c:v>
                </c:pt>
                <c:pt idx="51">
                  <c:v>22.3</c:v>
                </c:pt>
                <c:pt idx="52">
                  <c:v>22.85</c:v>
                </c:pt>
                <c:pt idx="53">
                  <c:v>23.2</c:v>
                </c:pt>
                <c:pt idx="54">
                  <c:v>23.9</c:v>
                </c:pt>
                <c:pt idx="55">
                  <c:v>24.9</c:v>
                </c:pt>
                <c:pt idx="56">
                  <c:v>25.3</c:v>
                </c:pt>
                <c:pt idx="57">
                  <c:v>25.75</c:v>
                </c:pt>
                <c:pt idx="58">
                  <c:v>26.2</c:v>
                </c:pt>
                <c:pt idx="59">
                  <c:v>26.6</c:v>
                </c:pt>
                <c:pt idx="60">
                  <c:v>26.7</c:v>
                </c:pt>
                <c:pt idx="61">
                  <c:v>27.3</c:v>
                </c:pt>
                <c:pt idx="62">
                  <c:v>27.85</c:v>
                </c:pt>
                <c:pt idx="63">
                  <c:v>29.35</c:v>
                </c:pt>
                <c:pt idx="64">
                  <c:v>29.9</c:v>
                </c:pt>
                <c:pt idx="65">
                  <c:v>30.2</c:v>
                </c:pt>
                <c:pt idx="66">
                  <c:v>30.55</c:v>
                </c:pt>
                <c:pt idx="67">
                  <c:v>31.1</c:v>
                </c:pt>
                <c:pt idx="68">
                  <c:v>31.3</c:v>
                </c:pt>
                <c:pt idx="69">
                  <c:v>31.65</c:v>
                </c:pt>
                <c:pt idx="70">
                  <c:v>32.15</c:v>
                </c:pt>
                <c:pt idx="71">
                  <c:v>32.549999999999997</c:v>
                </c:pt>
                <c:pt idx="72">
                  <c:v>33.1</c:v>
                </c:pt>
                <c:pt idx="73">
                  <c:v>33.6</c:v>
                </c:pt>
                <c:pt idx="74">
                  <c:v>34.1</c:v>
                </c:pt>
                <c:pt idx="75">
                  <c:v>34.549999999999997</c:v>
                </c:pt>
                <c:pt idx="76">
                  <c:v>35.1</c:v>
                </c:pt>
                <c:pt idx="77">
                  <c:v>35.549999999999997</c:v>
                </c:pt>
                <c:pt idx="78">
                  <c:v>36.049999999999997</c:v>
                </c:pt>
                <c:pt idx="79">
                  <c:v>36.65</c:v>
                </c:pt>
                <c:pt idx="80" formatCode="@">
                  <c:v>37.15</c:v>
                </c:pt>
                <c:pt idx="81" formatCode="@">
                  <c:v>37.75</c:v>
                </c:pt>
                <c:pt idx="82" formatCode="@">
                  <c:v>38.15</c:v>
                </c:pt>
                <c:pt idx="83" formatCode="@">
                  <c:v>38.65</c:v>
                </c:pt>
                <c:pt idx="84" formatCode="@">
                  <c:v>39.15</c:v>
                </c:pt>
                <c:pt idx="85" formatCode="@">
                  <c:v>39.700000000000003</c:v>
                </c:pt>
                <c:pt idx="86" formatCode="@">
                  <c:v>40.15</c:v>
                </c:pt>
                <c:pt idx="87" formatCode="@">
                  <c:v>40.450000000000003</c:v>
                </c:pt>
                <c:pt idx="88">
                  <c:v>41.15</c:v>
                </c:pt>
                <c:pt idx="89">
                  <c:v>41.55</c:v>
                </c:pt>
                <c:pt idx="90">
                  <c:v>41.7</c:v>
                </c:pt>
                <c:pt idx="91">
                  <c:v>42.15</c:v>
                </c:pt>
                <c:pt idx="92">
                  <c:v>42.15</c:v>
                </c:pt>
                <c:pt idx="93">
                  <c:v>42.55</c:v>
                </c:pt>
                <c:pt idx="94">
                  <c:v>42.55</c:v>
                </c:pt>
                <c:pt idx="95">
                  <c:v>42.7</c:v>
                </c:pt>
                <c:pt idx="96">
                  <c:v>42.7</c:v>
                </c:pt>
                <c:pt idx="97">
                  <c:v>43.15</c:v>
                </c:pt>
                <c:pt idx="98">
                  <c:v>43.15</c:v>
                </c:pt>
                <c:pt idx="99">
                  <c:v>43.65</c:v>
                </c:pt>
                <c:pt idx="100">
                  <c:v>43.65</c:v>
                </c:pt>
                <c:pt idx="101">
                  <c:v>44.1</c:v>
                </c:pt>
                <c:pt idx="102">
                  <c:v>44.6</c:v>
                </c:pt>
                <c:pt idx="103">
                  <c:v>46</c:v>
                </c:pt>
                <c:pt idx="104">
                  <c:v>47</c:v>
                </c:pt>
                <c:pt idx="105">
                  <c:v>47.95</c:v>
                </c:pt>
                <c:pt idx="106">
                  <c:v>48.35</c:v>
                </c:pt>
                <c:pt idx="107">
                  <c:v>49.05</c:v>
                </c:pt>
                <c:pt idx="108">
                  <c:v>49.15</c:v>
                </c:pt>
                <c:pt idx="109">
                  <c:v>49.55</c:v>
                </c:pt>
                <c:pt idx="110">
                  <c:v>50.15</c:v>
                </c:pt>
                <c:pt idx="111">
                  <c:v>50.85</c:v>
                </c:pt>
                <c:pt idx="112">
                  <c:v>51.3</c:v>
                </c:pt>
                <c:pt idx="113">
                  <c:v>51.9</c:v>
                </c:pt>
                <c:pt idx="114">
                  <c:v>52.45</c:v>
                </c:pt>
                <c:pt idx="115">
                  <c:v>52.75</c:v>
                </c:pt>
                <c:pt idx="116">
                  <c:v>53.2</c:v>
                </c:pt>
                <c:pt idx="117">
                  <c:v>53.6</c:v>
                </c:pt>
                <c:pt idx="118">
                  <c:v>54.05</c:v>
                </c:pt>
                <c:pt idx="119">
                  <c:v>54.25</c:v>
                </c:pt>
                <c:pt idx="120">
                  <c:v>54.5</c:v>
                </c:pt>
                <c:pt idx="121">
                  <c:v>54.9</c:v>
                </c:pt>
                <c:pt idx="122">
                  <c:v>55.5</c:v>
                </c:pt>
                <c:pt idx="123">
                  <c:v>55.9</c:v>
                </c:pt>
                <c:pt idx="124">
                  <c:v>56.15</c:v>
                </c:pt>
                <c:pt idx="125">
                  <c:v>56.6</c:v>
                </c:pt>
                <c:pt idx="126">
                  <c:v>57</c:v>
                </c:pt>
                <c:pt idx="127">
                  <c:v>57.55</c:v>
                </c:pt>
                <c:pt idx="128">
                  <c:v>57.8</c:v>
                </c:pt>
                <c:pt idx="129">
                  <c:v>57.85</c:v>
                </c:pt>
                <c:pt idx="130">
                  <c:v>58.15</c:v>
                </c:pt>
                <c:pt idx="131">
                  <c:v>58.5</c:v>
                </c:pt>
                <c:pt idx="132">
                  <c:v>59.4</c:v>
                </c:pt>
                <c:pt idx="133">
                  <c:v>59.4</c:v>
                </c:pt>
                <c:pt idx="134">
                  <c:v>59.75</c:v>
                </c:pt>
                <c:pt idx="135">
                  <c:v>60.15</c:v>
                </c:pt>
                <c:pt idx="136">
                  <c:v>60.9</c:v>
                </c:pt>
                <c:pt idx="137">
                  <c:v>61.5</c:v>
                </c:pt>
                <c:pt idx="138">
                  <c:v>61.9</c:v>
                </c:pt>
                <c:pt idx="139">
                  <c:v>62.4</c:v>
                </c:pt>
                <c:pt idx="140">
                  <c:v>62.95</c:v>
                </c:pt>
                <c:pt idx="141">
                  <c:v>63.4</c:v>
                </c:pt>
                <c:pt idx="142">
                  <c:v>63.8</c:v>
                </c:pt>
                <c:pt idx="143">
                  <c:v>64.349999999999994</c:v>
                </c:pt>
                <c:pt idx="144">
                  <c:v>64.75</c:v>
                </c:pt>
                <c:pt idx="145">
                  <c:v>65.349999999999994</c:v>
                </c:pt>
                <c:pt idx="146">
                  <c:v>65.900000000000006</c:v>
                </c:pt>
                <c:pt idx="147">
                  <c:v>66.349999999999994</c:v>
                </c:pt>
                <c:pt idx="148" formatCode="General">
                  <c:v>66.5</c:v>
                </c:pt>
              </c:numCache>
            </c:numRef>
          </c:xVal>
          <c:yVal>
            <c:numRef>
              <c:f>'vil14'!$D$2:$D$171</c:f>
              <c:numCache>
                <c:formatCode>General</c:formatCode>
                <c:ptCount val="170"/>
                <c:pt idx="0" formatCode="0">
                  <c:v>28942.714240484605</c:v>
                </c:pt>
                <c:pt idx="12" formatCode="0">
                  <c:v>41731.530440245966</c:v>
                </c:pt>
                <c:pt idx="26" formatCode="0">
                  <c:v>42572.063846630321</c:v>
                </c:pt>
                <c:pt idx="39" formatCode="0">
                  <c:v>43153.960083976708</c:v>
                </c:pt>
                <c:pt idx="48" formatCode="0">
                  <c:v>46012.363153728562</c:v>
                </c:pt>
                <c:pt idx="50" formatCode="0">
                  <c:v>44374.705406101471</c:v>
                </c:pt>
                <c:pt idx="59" formatCode="0">
                  <c:v>45458.208861830477</c:v>
                </c:pt>
                <c:pt idx="68" formatCode="0">
                  <c:v>45805.994337469478</c:v>
                </c:pt>
                <c:pt idx="79" formatCode="0">
                  <c:v>46678.431547361979</c:v>
                </c:pt>
                <c:pt idx="90" formatCode="0">
                  <c:v>47300.985830763406</c:v>
                </c:pt>
                <c:pt idx="103" formatCode="0">
                  <c:v>50766.182037944098</c:v>
                </c:pt>
                <c:pt idx="108" formatCode="0">
                  <c:v>48945.605792649418</c:v>
                </c:pt>
                <c:pt idx="119" formatCode="0">
                  <c:v>50026.392899315048</c:v>
                </c:pt>
                <c:pt idx="128" formatCode="0">
                  <c:v>50523.477710434956</c:v>
                </c:pt>
                <c:pt idx="138" formatCode="0">
                  <c:v>51316.754793727516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0-45AB-8C0B-B0235DA0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874768"/>
        <c:axId val="1"/>
      </c:scatterChart>
      <c:valAx>
        <c:axId val="759874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9874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89320911769292"/>
          <c:y val="0.35295199362384216"/>
          <c:w val="0.28923404643444539"/>
          <c:h val="0.347836747339438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891540</xdr:colOff>
      <xdr:row>19</xdr:row>
      <xdr:rowOff>152400</xdr:rowOff>
    </xdr:from>
    <xdr:to>
      <xdr:col>25</xdr:col>
      <xdr:colOff>426720</xdr:colOff>
      <xdr:row>36</xdr:row>
      <xdr:rowOff>99060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B1AE5FDF-0FA4-4274-9B8D-FD7965B40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enty/LOCALS~1/Temp/Villars/Dea-Montreal/Stables/VILLARS/Vilstm9/Vil9-i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uchoud%20Isabelle/Mes%20documents/Sp&#233;l&#233;oth&#232;mes/Intergl-se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G/STM/VILLARS/Vilstm9/Vil9-is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genty\LOCALS~1\Temp\CC28%20second%20version\FINAL%20REVISION%20AFTER%20REVIEW%202\CC28%20data%20for%20resubmission\Documents%20and%20Settings\Russell\Desktop\Desktop%20Office%20PC\RESEARCH\ITALY\stalagmite%20data%20and%20papers\CC%205\C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indexed="10"/>
  </sheetPr>
  <dimension ref="A1:X171"/>
  <sheetViews>
    <sheetView tabSelected="1" zoomScale="85" workbookViewId="0">
      <pane xSplit="23148" topLeftCell="U1"/>
      <selection activeCell="C149" activeCellId="1" sqref="I1:I149 C1:C149"/>
      <selection pane="topRight" activeCell="X21" sqref="X21"/>
    </sheetView>
  </sheetViews>
  <sheetFormatPr baseColWidth="10" defaultColWidth="10.7265625" defaultRowHeight="12.6"/>
  <cols>
    <col min="1" max="1" width="9.08984375" style="6" customWidth="1"/>
    <col min="2" max="2" width="7.36328125" style="6" customWidth="1"/>
    <col min="3" max="4" width="9.36328125" style="22" customWidth="1"/>
    <col min="5" max="6" width="6.26953125" style="22" customWidth="1"/>
    <col min="7" max="7" width="2.90625" style="6" customWidth="1"/>
    <col min="8" max="9" width="10.7265625" style="97" customWidth="1"/>
    <col min="10" max="11" width="10.7265625" style="6" customWidth="1"/>
    <col min="12" max="12" width="3.6328125" style="6" customWidth="1"/>
    <col min="13" max="13" width="9.36328125" style="22" customWidth="1"/>
    <col min="14" max="15" width="5.90625" style="6" customWidth="1"/>
    <col min="16" max="16" width="11" style="45" customWidth="1"/>
    <col min="17" max="17" width="8" style="6" customWidth="1"/>
    <col min="18" max="18" width="9.90625" style="6" customWidth="1"/>
    <col min="19" max="16384" width="10.7265625" style="6"/>
  </cols>
  <sheetData>
    <row r="1" spans="1:24" ht="25.8" thickBot="1">
      <c r="A1" s="1"/>
      <c r="B1" s="2" t="s">
        <v>0</v>
      </c>
      <c r="C1" s="3" t="s">
        <v>1</v>
      </c>
      <c r="D1" s="3" t="s">
        <v>1</v>
      </c>
      <c r="E1" s="3" t="s">
        <v>2</v>
      </c>
      <c r="F1" s="3"/>
      <c r="G1" s="1"/>
      <c r="H1" s="4" t="s">
        <v>3</v>
      </c>
      <c r="I1" s="4" t="s">
        <v>4</v>
      </c>
      <c r="J1" s="5" t="s">
        <v>5</v>
      </c>
      <c r="L1" s="6" t="s">
        <v>6</v>
      </c>
      <c r="M1" s="3" t="s">
        <v>1</v>
      </c>
      <c r="N1" s="6" t="s">
        <v>7</v>
      </c>
      <c r="O1" s="6" t="s">
        <v>7</v>
      </c>
      <c r="P1" s="6" t="s">
        <v>8</v>
      </c>
      <c r="R1" s="6" t="s">
        <v>9</v>
      </c>
      <c r="S1" s="6" t="s">
        <v>10</v>
      </c>
      <c r="T1" s="6" t="s">
        <v>11</v>
      </c>
    </row>
    <row r="2" spans="1:24" s="13" customFormat="1" ht="13.2" thickBot="1">
      <c r="A2" s="7" t="s">
        <v>12</v>
      </c>
      <c r="B2" s="8">
        <v>0.7</v>
      </c>
      <c r="C2" s="9">
        <f t="shared" ref="C2:C14" si="0" xml:space="preserve"> 2692.4*B2 + 27058</f>
        <v>28942.68</v>
      </c>
      <c r="D2" s="10">
        <v>28942.714240484605</v>
      </c>
      <c r="E2" s="10">
        <v>560.97429650307879</v>
      </c>
      <c r="F2" s="10">
        <v>560.97429650307879</v>
      </c>
      <c r="G2" s="7" t="s">
        <v>13</v>
      </c>
      <c r="H2" s="11"/>
      <c r="I2" s="11"/>
      <c r="J2" s="12">
        <v>-1.5</v>
      </c>
      <c r="M2" s="10">
        <v>28942.714240484605</v>
      </c>
      <c r="N2" s="13">
        <v>-4</v>
      </c>
      <c r="O2" s="13">
        <v>-4</v>
      </c>
      <c r="P2" s="14">
        <f>10000*(B14-B2)/(C14-C2)</f>
        <v>3.7141583717129696</v>
      </c>
      <c r="Q2" s="14">
        <f>R2-P2</f>
        <v>0.38840747712505808</v>
      </c>
      <c r="R2" s="14">
        <f>10000*(B14-B2)/((C14-E14)-(C2+E2))</f>
        <v>4.1025658488380277</v>
      </c>
      <c r="S2" s="14">
        <f>10000*((B14-B2)/((C14+E14)-(C2-E2)))</f>
        <v>3.3929347130330147</v>
      </c>
      <c r="T2" s="14">
        <f>10000*((B14+0.3)-(B2-0.3))/((C14+F14)-(C2-F2))</f>
        <v>3.8215159399424481</v>
      </c>
      <c r="U2" s="14">
        <f>10000*((B14-0.3)-(B2+0.3))/((D14+F14)-(C2-E2))</f>
        <v>2.964363980159908</v>
      </c>
      <c r="V2" s="15">
        <f>D2-E2</f>
        <v>28381.739943981527</v>
      </c>
    </row>
    <row r="3" spans="1:24" ht="13.8" thickBot="1">
      <c r="A3" s="16">
        <f>1/12.8</f>
        <v>7.8125E-2</v>
      </c>
      <c r="B3" s="17">
        <v>1.4</v>
      </c>
      <c r="C3" s="9">
        <f t="shared" si="0"/>
        <v>30827.360000000001</v>
      </c>
      <c r="D3" s="18"/>
      <c r="E3" s="19"/>
      <c r="F3" s="20"/>
      <c r="H3" s="11">
        <v>-3.7419545219321391</v>
      </c>
      <c r="I3" s="11">
        <v>-5.0051128299196082</v>
      </c>
      <c r="J3" s="21"/>
      <c r="K3" s="22">
        <f t="shared" ref="K3:K34" si="1">C3-C2</f>
        <v>1884.6800000000003</v>
      </c>
      <c r="M3" s="18"/>
      <c r="P3" s="23">
        <v>3.7141583717129696</v>
      </c>
      <c r="Q3" s="24">
        <f>P3-S2</f>
        <v>0.32122365867995484</v>
      </c>
      <c r="T3" s="24">
        <f>AVERAGE(T2:U2)</f>
        <v>3.3929399600511783</v>
      </c>
    </row>
    <row r="4" spans="1:24">
      <c r="A4" s="25" t="s">
        <v>14</v>
      </c>
      <c r="B4" s="17">
        <v>1.85</v>
      </c>
      <c r="C4" s="9">
        <f t="shared" si="0"/>
        <v>32038.940000000002</v>
      </c>
      <c r="H4" s="11">
        <v>-3.9526110402276418</v>
      </c>
      <c r="I4" s="11">
        <v>-6.8828115483579921</v>
      </c>
      <c r="J4" s="21"/>
      <c r="K4" s="22">
        <f t="shared" si="1"/>
        <v>1211.5800000000017</v>
      </c>
      <c r="P4" s="23">
        <v>3.7141583717129696</v>
      </c>
      <c r="Q4" s="6">
        <f>AVERAGE(Q2:Q3)</f>
        <v>0.35481556790250646</v>
      </c>
      <c r="T4" s="24">
        <f>T2-T3</f>
        <v>0.42857597989126983</v>
      </c>
    </row>
    <row r="5" spans="1:24">
      <c r="A5" s="25"/>
      <c r="B5" s="17">
        <v>2.0499999999999998</v>
      </c>
      <c r="C5" s="9">
        <f t="shared" si="0"/>
        <v>32577.42</v>
      </c>
      <c r="H5" s="11">
        <v>-4.3480516326728909</v>
      </c>
      <c r="I5" s="11">
        <v>-7.6347205984218176</v>
      </c>
      <c r="J5" s="21"/>
      <c r="K5" s="22">
        <f t="shared" si="1"/>
        <v>538.47999999999593</v>
      </c>
      <c r="P5" s="23">
        <v>3.7141583717129696</v>
      </c>
    </row>
    <row r="6" spans="1:24">
      <c r="A6" s="24">
        <f>1000/2692</f>
        <v>0.37147102526002973</v>
      </c>
      <c r="B6" s="17">
        <v>2.5499999999999998</v>
      </c>
      <c r="C6" s="9">
        <f t="shared" si="0"/>
        <v>33923.620000000003</v>
      </c>
      <c r="H6" s="11">
        <v>-3.8549430926512094</v>
      </c>
      <c r="I6" s="11">
        <v>-7.6202818590421071</v>
      </c>
      <c r="J6" s="21"/>
      <c r="K6" s="22">
        <f t="shared" si="1"/>
        <v>1346.2000000000044</v>
      </c>
      <c r="P6" s="23">
        <v>3.7141583717129696</v>
      </c>
    </row>
    <row r="7" spans="1:24">
      <c r="A7" s="25" t="s">
        <v>15</v>
      </c>
      <c r="B7" s="17">
        <v>2.85</v>
      </c>
      <c r="C7" s="9">
        <f t="shared" si="0"/>
        <v>34731.339999999997</v>
      </c>
      <c r="H7" s="11">
        <v>-4.3963287271509994</v>
      </c>
      <c r="I7" s="11">
        <v>-8.0084614925198458</v>
      </c>
      <c r="J7" s="21"/>
      <c r="K7" s="22">
        <f t="shared" si="1"/>
        <v>807.71999999999389</v>
      </c>
      <c r="P7" s="23">
        <v>3.7141583717129696</v>
      </c>
    </row>
    <row r="8" spans="1:24">
      <c r="A8" s="25"/>
      <c r="B8" s="17">
        <v>3.25</v>
      </c>
      <c r="C8" s="9">
        <f t="shared" si="0"/>
        <v>35808.300000000003</v>
      </c>
      <c r="H8" s="26">
        <v>-4.2585228132362394</v>
      </c>
      <c r="I8" s="26">
        <v>-7.9862628913057154</v>
      </c>
      <c r="J8" s="21"/>
      <c r="K8" s="22">
        <f t="shared" si="1"/>
        <v>1076.9600000000064</v>
      </c>
      <c r="P8" s="23">
        <v>3.7141583717129696</v>
      </c>
    </row>
    <row r="9" spans="1:24">
      <c r="A9" s="25"/>
      <c r="B9" s="17">
        <v>3.75</v>
      </c>
      <c r="C9" s="9">
        <f t="shared" si="0"/>
        <v>37154.5</v>
      </c>
      <c r="H9" s="26">
        <v>-4.177357103805539</v>
      </c>
      <c r="I9" s="26">
        <v>-7.7810384897338523</v>
      </c>
      <c r="J9" s="21"/>
      <c r="K9" s="22">
        <f t="shared" si="1"/>
        <v>1346.1999999999971</v>
      </c>
      <c r="P9" s="23">
        <v>3.7141583717129696</v>
      </c>
    </row>
    <row r="10" spans="1:24">
      <c r="A10" s="25"/>
      <c r="B10" s="17">
        <v>4.0999999999999996</v>
      </c>
      <c r="C10" s="9">
        <f t="shared" si="0"/>
        <v>38096.839999999997</v>
      </c>
      <c r="H10" s="26">
        <v>-4.2625538658600135</v>
      </c>
      <c r="I10" s="26">
        <v>-7.5410691459723846</v>
      </c>
      <c r="J10" s="21"/>
      <c r="K10" s="22">
        <f t="shared" si="1"/>
        <v>942.33999999999651</v>
      </c>
      <c r="L10" s="27"/>
      <c r="N10" s="27"/>
      <c r="O10" s="27"/>
      <c r="P10" s="23">
        <v>3.7141583717129696</v>
      </c>
      <c r="Q10" s="27"/>
      <c r="R10" s="27"/>
      <c r="T10" s="27"/>
      <c r="V10" s="28"/>
    </row>
    <row r="11" spans="1:24">
      <c r="A11" s="25"/>
      <c r="B11" s="17">
        <v>4.5</v>
      </c>
      <c r="C11" s="9">
        <f t="shared" si="0"/>
        <v>39173.800000000003</v>
      </c>
      <c r="H11" s="26">
        <v>-3.8214991922071313</v>
      </c>
      <c r="I11" s="26">
        <v>-7.063151992817728</v>
      </c>
      <c r="J11" s="21"/>
      <c r="K11" s="22">
        <f t="shared" si="1"/>
        <v>1076.9600000000064</v>
      </c>
      <c r="L11" s="27"/>
      <c r="N11" s="27"/>
      <c r="O11" s="27"/>
      <c r="P11" s="23">
        <v>3.7141583717129696</v>
      </c>
      <c r="Q11" s="27"/>
      <c r="R11" s="27"/>
      <c r="T11" s="27"/>
      <c r="V11" s="28"/>
    </row>
    <row r="12" spans="1:24">
      <c r="A12" s="25"/>
      <c r="B12" s="17">
        <v>4.8499999999999996</v>
      </c>
      <c r="C12" s="9">
        <f t="shared" si="0"/>
        <v>40116.14</v>
      </c>
      <c r="H12" s="26">
        <v>-4.0985622476676618</v>
      </c>
      <c r="I12" s="26">
        <v>-6.4592981730645604</v>
      </c>
      <c r="J12" s="21"/>
      <c r="K12" s="22">
        <f t="shared" si="1"/>
        <v>942.33999999999651</v>
      </c>
      <c r="L12" s="27"/>
      <c r="N12" s="27"/>
      <c r="O12" s="27"/>
      <c r="P12" s="23">
        <v>3.7141583717129696</v>
      </c>
      <c r="Q12" s="27"/>
      <c r="R12" s="27"/>
      <c r="T12" s="27"/>
      <c r="V12" s="28"/>
    </row>
    <row r="13" spans="1:24">
      <c r="A13" s="25"/>
      <c r="B13" s="17">
        <v>5.35</v>
      </c>
      <c r="C13" s="9">
        <f t="shared" si="0"/>
        <v>41462.339999999997</v>
      </c>
      <c r="D13" s="29"/>
      <c r="E13" s="30"/>
      <c r="H13" s="26">
        <v>-3.9577166077159989</v>
      </c>
      <c r="I13" s="26">
        <v>-6.732883057808392</v>
      </c>
      <c r="J13" s="21"/>
      <c r="K13" s="22">
        <f t="shared" si="1"/>
        <v>1346.1999999999971</v>
      </c>
      <c r="L13" s="27"/>
      <c r="M13" s="29"/>
      <c r="N13" s="27"/>
      <c r="O13" s="27"/>
      <c r="P13" s="23">
        <v>3.7141583717129696</v>
      </c>
      <c r="Q13" s="27"/>
      <c r="R13" s="27"/>
      <c r="T13" s="27"/>
      <c r="V13" s="28"/>
    </row>
    <row r="14" spans="1:24" s="34" customFormat="1">
      <c r="A14" s="31" t="s">
        <v>16</v>
      </c>
      <c r="B14" s="32">
        <v>5.45</v>
      </c>
      <c r="C14" s="33">
        <f t="shared" si="0"/>
        <v>41731.58</v>
      </c>
      <c r="D14" s="33">
        <v>41731.530440245966</v>
      </c>
      <c r="E14" s="33">
        <v>649.80563177315821</v>
      </c>
      <c r="F14" s="33">
        <v>649.80563177315821</v>
      </c>
      <c r="G14" s="34" t="s">
        <v>13</v>
      </c>
      <c r="H14" s="32">
        <f>AVERAGE(H15,H13)</f>
        <v>-4.2197554292594655</v>
      </c>
      <c r="I14" s="32">
        <f>AVERAGE(I15,I13)</f>
        <v>-6.7289417910250577</v>
      </c>
      <c r="J14" s="34">
        <v>-2.2000000000000002</v>
      </c>
      <c r="K14" s="35">
        <f t="shared" si="1"/>
        <v>269.24000000000524</v>
      </c>
      <c r="L14" s="36"/>
      <c r="M14" s="33">
        <v>41731.530440245966</v>
      </c>
      <c r="N14" s="36">
        <v>-4.5</v>
      </c>
      <c r="O14" s="36">
        <v>-4.5</v>
      </c>
      <c r="P14" s="23">
        <v>3.7141583717129696</v>
      </c>
      <c r="Q14" s="14">
        <f>P16-S14</f>
        <v>37.512786726378707</v>
      </c>
      <c r="R14" s="14">
        <f>10000*(B28-B14)/((C28-E28)-(C14+E14))</f>
        <v>-174.05553571046275</v>
      </c>
      <c r="S14" s="14">
        <f>10000*(B28-B14)/((C28+E28)-(C14-E14))</f>
        <v>27.330815228022029</v>
      </c>
      <c r="T14" s="14">
        <f>10000*((B28+0.3)-(B14-0.3))/((C28+F28)-(C14-F14))</f>
        <v>30.339712317345558</v>
      </c>
      <c r="V14" s="37">
        <f>C14+E14</f>
        <v>42381.385631773162</v>
      </c>
    </row>
    <row r="15" spans="1:24">
      <c r="A15" s="17">
        <f>1/154</f>
        <v>6.4935064935064939E-3</v>
      </c>
      <c r="B15" s="17">
        <v>5.75</v>
      </c>
      <c r="C15" s="9">
        <f>154.23*B15 + 40891</f>
        <v>41777.822500000002</v>
      </c>
      <c r="H15" s="26">
        <v>-4.481794250802932</v>
      </c>
      <c r="I15" s="26">
        <v>-6.7250005242417235</v>
      </c>
      <c r="J15" s="21"/>
      <c r="K15" s="22">
        <f t="shared" si="1"/>
        <v>46.242500000000291</v>
      </c>
      <c r="L15" s="27"/>
      <c r="N15" s="27"/>
      <c r="O15" s="27"/>
      <c r="P15" s="14">
        <f>10000*(B28-B14)/(C28-C14)</f>
        <v>64.843601954400739</v>
      </c>
      <c r="Q15" s="27"/>
      <c r="R15" s="27"/>
      <c r="T15" s="27"/>
      <c r="U15" s="28"/>
      <c r="W15" s="6">
        <f>52177-41732</f>
        <v>10445</v>
      </c>
      <c r="X15" s="6">
        <f>52177-28943</f>
        <v>23234</v>
      </c>
    </row>
    <row r="16" spans="1:24">
      <c r="A16" s="38" t="s">
        <v>17</v>
      </c>
      <c r="B16" s="39">
        <v>6.15</v>
      </c>
      <c r="C16" s="9">
        <f>154.23*B16 + 40891</f>
        <v>41839.514499999997</v>
      </c>
      <c r="H16" s="26">
        <v>-4.27607216642149</v>
      </c>
      <c r="I16" s="26">
        <v>-6.529185548394894</v>
      </c>
      <c r="K16" s="22">
        <f t="shared" si="1"/>
        <v>61.69199999999546</v>
      </c>
      <c r="L16" s="27"/>
      <c r="N16" s="27"/>
      <c r="O16" s="27"/>
      <c r="P16" s="23">
        <v>64.843601954400739</v>
      </c>
      <c r="Q16" s="27"/>
      <c r="R16" s="27"/>
      <c r="T16" s="27"/>
      <c r="U16" s="28"/>
      <c r="W16" s="6">
        <f>W15/135</f>
        <v>77.370370370370367</v>
      </c>
      <c r="X16" s="6">
        <f>X15/147</f>
        <v>158.05442176870747</v>
      </c>
    </row>
    <row r="17" spans="1:21">
      <c r="A17" s="38" t="s">
        <v>18</v>
      </c>
      <c r="B17" s="39">
        <v>6.55</v>
      </c>
      <c r="C17" s="9">
        <f t="shared" ref="C17:C27" si="2" xml:space="preserve"> 154.23*B17 + 40891</f>
        <v>41901.2065</v>
      </c>
      <c r="H17" s="26">
        <v>-4.5198691920940011</v>
      </c>
      <c r="I17" s="26">
        <v>-6.6856011728440699</v>
      </c>
      <c r="K17" s="22">
        <f t="shared" si="1"/>
        <v>61.692000000002736</v>
      </c>
      <c r="L17" s="27"/>
      <c r="N17" s="27"/>
      <c r="O17" s="27"/>
      <c r="P17" s="23">
        <v>64.843601954400739</v>
      </c>
      <c r="Q17" s="27"/>
      <c r="R17" s="27"/>
      <c r="T17" s="27"/>
      <c r="U17" s="28"/>
    </row>
    <row r="18" spans="1:21" ht="15.6">
      <c r="A18" s="39">
        <f>1000/155</f>
        <v>6.4516129032258061</v>
      </c>
      <c r="B18" s="39">
        <v>7</v>
      </c>
      <c r="C18" s="9">
        <f t="shared" si="2"/>
        <v>41970.61</v>
      </c>
      <c r="H18" s="26">
        <v>-4.2493178270616809</v>
      </c>
      <c r="I18" s="26">
        <v>-6.9343682451423003</v>
      </c>
      <c r="K18" s="22">
        <f t="shared" si="1"/>
        <v>69.403500000000349</v>
      </c>
      <c r="L18" s="27"/>
      <c r="N18" s="40"/>
      <c r="O18" s="40"/>
      <c r="P18" s="23">
        <v>64.843601954400739</v>
      </c>
      <c r="Q18" s="41"/>
      <c r="R18" s="27"/>
      <c r="T18" s="27"/>
      <c r="U18" s="28"/>
    </row>
    <row r="19" spans="1:21" s="45" customFormat="1" ht="15.6">
      <c r="A19" s="38" t="s">
        <v>15</v>
      </c>
      <c r="B19" s="39">
        <v>7.35</v>
      </c>
      <c r="C19" s="9">
        <f t="shared" si="2"/>
        <v>42024.590499999998</v>
      </c>
      <c r="D19" s="22"/>
      <c r="E19" s="22"/>
      <c r="F19" s="22"/>
      <c r="G19" s="6"/>
      <c r="H19" s="26">
        <v>-4.4014787363518382</v>
      </c>
      <c r="I19" s="26">
        <v>-7.0178114051963814</v>
      </c>
      <c r="J19" s="42"/>
      <c r="K19" s="22">
        <f t="shared" si="1"/>
        <v>53.980499999997846</v>
      </c>
      <c r="L19" s="43"/>
      <c r="M19" s="22"/>
      <c r="N19" s="40"/>
      <c r="O19" s="40"/>
      <c r="P19" s="23">
        <v>64.843601954400739</v>
      </c>
      <c r="Q19" s="41"/>
      <c r="R19" s="43"/>
      <c r="S19" s="6"/>
      <c r="T19" s="43"/>
      <c r="U19" s="44"/>
    </row>
    <row r="20" spans="1:21" s="45" customFormat="1" ht="15.6">
      <c r="A20" s="38"/>
      <c r="B20" s="39">
        <v>7.7</v>
      </c>
      <c r="C20" s="9">
        <f t="shared" si="2"/>
        <v>42078.570999999996</v>
      </c>
      <c r="D20" s="22"/>
      <c r="E20" s="22"/>
      <c r="F20" s="22"/>
      <c r="G20" s="6"/>
      <c r="H20" s="26">
        <v>-4.404575362512948</v>
      </c>
      <c r="I20" s="26">
        <v>-6.9237261695980781</v>
      </c>
      <c r="J20" s="42"/>
      <c r="K20" s="22">
        <f t="shared" si="1"/>
        <v>53.980499999997846</v>
      </c>
      <c r="L20" s="43"/>
      <c r="M20" s="22"/>
      <c r="N20" s="46"/>
      <c r="O20" s="46"/>
      <c r="P20" s="23">
        <v>64.843601954400739</v>
      </c>
      <c r="Q20" s="47"/>
      <c r="R20" s="43"/>
      <c r="S20" s="6"/>
      <c r="T20" s="43"/>
      <c r="U20" s="44"/>
    </row>
    <row r="21" spans="1:21" s="45" customFormat="1" ht="15.6">
      <c r="A21" s="38"/>
      <c r="B21" s="39">
        <v>8.1</v>
      </c>
      <c r="C21" s="9">
        <f t="shared" si="2"/>
        <v>42140.262999999999</v>
      </c>
      <c r="D21" s="22"/>
      <c r="E21" s="22"/>
      <c r="F21" s="22"/>
      <c r="G21" s="6"/>
      <c r="H21" s="26">
        <v>-4.441880765631824</v>
      </c>
      <c r="I21" s="26">
        <v>-7.2460848285082822</v>
      </c>
      <c r="J21" s="42"/>
      <c r="K21" s="22">
        <f t="shared" si="1"/>
        <v>61.692000000002736</v>
      </c>
      <c r="L21" s="43"/>
      <c r="M21" s="22"/>
      <c r="N21" s="46"/>
      <c r="O21" s="46"/>
      <c r="P21" s="23">
        <v>64.843601954400739</v>
      </c>
      <c r="Q21" s="47"/>
      <c r="R21" s="43"/>
      <c r="S21" s="6"/>
      <c r="T21" s="43"/>
      <c r="U21" s="44"/>
    </row>
    <row r="22" spans="1:21" s="45" customFormat="1" ht="15.6">
      <c r="A22" s="25"/>
      <c r="B22" s="17">
        <v>8.5500000000000007</v>
      </c>
      <c r="C22" s="9">
        <f t="shared" si="2"/>
        <v>42209.666499999999</v>
      </c>
      <c r="D22" s="22"/>
      <c r="E22" s="22"/>
      <c r="F22" s="22"/>
      <c r="G22" s="6"/>
      <c r="H22" s="26">
        <v>-4.1077389507296651</v>
      </c>
      <c r="I22" s="26">
        <v>-7.8396287427434093</v>
      </c>
      <c r="J22" s="42"/>
      <c r="K22" s="22">
        <f t="shared" si="1"/>
        <v>69.403500000000349</v>
      </c>
      <c r="L22" s="43"/>
      <c r="M22" s="22"/>
      <c r="N22" s="46"/>
      <c r="O22" s="46"/>
      <c r="P22" s="23">
        <v>64.843601954400739</v>
      </c>
      <c r="Q22" s="47"/>
      <c r="R22" s="43"/>
      <c r="S22" s="6"/>
      <c r="T22" s="43"/>
      <c r="U22" s="44"/>
    </row>
    <row r="23" spans="1:21" s="45" customFormat="1" ht="15.6">
      <c r="A23" s="48">
        <f>1000*1.149</f>
        <v>1149</v>
      </c>
      <c r="B23" s="17">
        <v>8.9</v>
      </c>
      <c r="C23" s="9">
        <f t="shared" si="2"/>
        <v>42263.646999999997</v>
      </c>
      <c r="D23" s="22"/>
      <c r="E23" s="22"/>
      <c r="F23" s="22"/>
      <c r="G23" s="6"/>
      <c r="H23" s="26">
        <v>-4.1160448014595117</v>
      </c>
      <c r="I23" s="26">
        <v>-7.4524652293351039</v>
      </c>
      <c r="J23" s="42"/>
      <c r="K23" s="22">
        <f t="shared" si="1"/>
        <v>53.980499999997846</v>
      </c>
      <c r="L23" s="49"/>
      <c r="M23" s="22"/>
      <c r="N23" s="46"/>
      <c r="O23" s="46"/>
      <c r="P23" s="23">
        <v>64.843601954400739</v>
      </c>
      <c r="Q23" s="47"/>
      <c r="R23" s="43"/>
      <c r="S23" s="6"/>
      <c r="T23" s="43"/>
      <c r="U23" s="44"/>
    </row>
    <row r="24" spans="1:21" s="45" customFormat="1" ht="15.6">
      <c r="A24" s="48">
        <v>36595</v>
      </c>
      <c r="B24" s="17">
        <v>9.15</v>
      </c>
      <c r="C24" s="9">
        <f t="shared" si="2"/>
        <v>42302.2045</v>
      </c>
      <c r="D24" s="22"/>
      <c r="E24" s="22"/>
      <c r="F24" s="22"/>
      <c r="G24" s="6"/>
      <c r="H24" s="26">
        <v>-4.141011045872883</v>
      </c>
      <c r="I24" s="26">
        <v>-7.3938300676951085</v>
      </c>
      <c r="J24" s="42"/>
      <c r="K24" s="22">
        <f t="shared" si="1"/>
        <v>38.557500000002619</v>
      </c>
      <c r="L24" s="49"/>
      <c r="M24" s="22"/>
      <c r="N24" s="46"/>
      <c r="O24" s="46"/>
      <c r="P24" s="23">
        <v>64.843601954400739</v>
      </c>
      <c r="Q24" s="47"/>
      <c r="R24" s="43"/>
      <c r="S24" s="6"/>
      <c r="T24" s="43"/>
      <c r="U24" s="44"/>
    </row>
    <row r="25" spans="1:21" s="21" customFormat="1" ht="15.6">
      <c r="A25" s="50" t="s">
        <v>19</v>
      </c>
      <c r="B25" s="51">
        <v>9.3000000000000007</v>
      </c>
      <c r="C25" s="9">
        <f t="shared" si="2"/>
        <v>42325.339</v>
      </c>
      <c r="D25" s="48"/>
      <c r="E25" s="48"/>
      <c r="F25" s="48"/>
      <c r="G25" s="13"/>
      <c r="H25" s="51">
        <v>-4.160810255092648</v>
      </c>
      <c r="I25" s="51">
        <v>-7.6076462746238684</v>
      </c>
      <c r="J25" s="12">
        <v>-1.5</v>
      </c>
      <c r="K25" s="22">
        <f t="shared" si="1"/>
        <v>23.134500000000116</v>
      </c>
      <c r="L25" s="52"/>
      <c r="M25" s="48"/>
      <c r="N25" s="46"/>
      <c r="O25" s="46"/>
      <c r="P25" s="23">
        <v>64.843601954400739</v>
      </c>
      <c r="Q25" s="47"/>
      <c r="R25" s="53"/>
      <c r="S25" s="6"/>
      <c r="T25" s="53"/>
      <c r="U25" s="54"/>
    </row>
    <row r="26" spans="1:21" s="45" customFormat="1" ht="13.2">
      <c r="A26" s="39">
        <f>1/6096</f>
        <v>1.6404199475065617E-4</v>
      </c>
      <c r="B26" s="17">
        <v>10.199999999999999</v>
      </c>
      <c r="C26" s="9">
        <f t="shared" si="2"/>
        <v>42464.146000000001</v>
      </c>
      <c r="D26" s="22"/>
      <c r="E26" s="22"/>
      <c r="F26" s="22"/>
      <c r="G26" s="6"/>
      <c r="H26" s="26">
        <v>-3.9348923536116476</v>
      </c>
      <c r="I26" s="26">
        <v>-7.8921083420291547</v>
      </c>
      <c r="J26" s="42"/>
      <c r="K26" s="22">
        <f t="shared" si="1"/>
        <v>138.8070000000007</v>
      </c>
      <c r="L26" s="49"/>
      <c r="M26" s="22"/>
      <c r="N26" s="43"/>
      <c r="O26" s="43"/>
      <c r="P26" s="23">
        <v>64.843601954400739</v>
      </c>
      <c r="Q26" s="43"/>
      <c r="R26" s="43"/>
      <c r="S26" s="6"/>
      <c r="T26" s="43"/>
      <c r="U26" s="44"/>
    </row>
    <row r="27" spans="1:21" s="45" customFormat="1" ht="13.2">
      <c r="A27" s="38"/>
      <c r="B27" s="17">
        <v>10.7</v>
      </c>
      <c r="C27" s="9">
        <f t="shared" si="2"/>
        <v>42541.260999999999</v>
      </c>
      <c r="D27" s="29"/>
      <c r="E27" s="30"/>
      <c r="F27" s="22"/>
      <c r="G27" s="6"/>
      <c r="H27" s="26">
        <v>-4.0444008585506479</v>
      </c>
      <c r="I27" s="26">
        <v>-6.665082219981465</v>
      </c>
      <c r="J27" s="42"/>
      <c r="K27" s="22">
        <f t="shared" si="1"/>
        <v>77.114999999997963</v>
      </c>
      <c r="L27" s="49"/>
      <c r="M27" s="29"/>
      <c r="N27" s="43"/>
      <c r="O27" s="43"/>
      <c r="P27" s="23">
        <v>64.843601954400739</v>
      </c>
      <c r="Q27" s="43"/>
      <c r="R27" s="43"/>
      <c r="S27" s="6"/>
      <c r="T27" s="43"/>
      <c r="U27" s="44"/>
    </row>
    <row r="28" spans="1:21" s="60" customFormat="1" ht="13.2">
      <c r="A28" s="31" t="s">
        <v>20</v>
      </c>
      <c r="B28" s="34">
        <v>10.9</v>
      </c>
      <c r="C28" s="33">
        <v>42572.063846630321</v>
      </c>
      <c r="D28" s="33">
        <v>42572.063846630321</v>
      </c>
      <c r="E28" s="33">
        <v>503.79666741048158</v>
      </c>
      <c r="F28" s="33">
        <v>503.79666741048158</v>
      </c>
      <c r="G28" s="34" t="s">
        <v>13</v>
      </c>
      <c r="H28" s="32">
        <f>AVERAGE(H27,H29)</f>
        <v>-4.235654496651736</v>
      </c>
      <c r="I28" s="32">
        <f>AVERAGE(I27,I29)</f>
        <v>-6.6155156799353669</v>
      </c>
      <c r="J28" s="55">
        <v>-2.2000000000000002</v>
      </c>
      <c r="K28" s="56">
        <f t="shared" si="1"/>
        <v>30.802846630322165</v>
      </c>
      <c r="L28" s="57"/>
      <c r="M28" s="33">
        <v>42572.063846630321</v>
      </c>
      <c r="N28" s="58">
        <v>-4.7</v>
      </c>
      <c r="O28" s="58">
        <v>-4.7</v>
      </c>
      <c r="P28" s="23">
        <v>64.843601954400697</v>
      </c>
      <c r="Q28" s="58"/>
      <c r="R28" s="58"/>
      <c r="S28" s="6"/>
      <c r="T28" s="58"/>
      <c r="U28" s="59"/>
    </row>
    <row r="29" spans="1:21" s="45" customFormat="1" ht="13.2">
      <c r="A29" s="61">
        <f>1/99</f>
        <v>1.0101010101010102E-2</v>
      </c>
      <c r="B29" s="62">
        <v>11.15</v>
      </c>
      <c r="C29" s="63">
        <f t="shared" ref="C29:C40" si="3" xml:space="preserve"> 99.469*B29 + 41488</f>
        <v>42597.07935</v>
      </c>
      <c r="D29" s="22"/>
      <c r="E29" s="22"/>
      <c r="F29" s="22"/>
      <c r="G29" s="6"/>
      <c r="H29" s="26">
        <v>-4.4269081347528241</v>
      </c>
      <c r="I29" s="26">
        <v>-6.5659491398892698</v>
      </c>
      <c r="J29" s="42"/>
      <c r="K29" s="22">
        <f t="shared" si="1"/>
        <v>25.015503369679209</v>
      </c>
      <c r="L29" s="43"/>
      <c r="M29" s="22"/>
      <c r="N29" s="43"/>
      <c r="O29" s="43"/>
      <c r="P29" s="14">
        <f>10000*(B41-B28)/(C41-C28)</f>
        <v>100.53338764790209</v>
      </c>
      <c r="Q29" s="14">
        <f>P31-S29</f>
        <v>64.574296976859301</v>
      </c>
      <c r="R29" s="14">
        <f>10000*(B41-B28)/((C41-E41)-(C28+E28))</f>
        <v>-126.33454965387331</v>
      </c>
      <c r="S29" s="14">
        <f>10000*(B41-B28)/((C41+E41)-(C28-E28))</f>
        <v>35.959090671042787</v>
      </c>
      <c r="T29" s="14">
        <f>10000*((B41+0.3)-(B28-0.3))/((C41+F41)-(C28-F28))</f>
        <v>39.647202534739492</v>
      </c>
      <c r="U29" s="34"/>
    </row>
    <row r="30" spans="1:21" s="45" customFormat="1" ht="13.2">
      <c r="A30" s="39">
        <f>1000/99</f>
        <v>10.1010101010101</v>
      </c>
      <c r="B30" s="62">
        <v>11.7</v>
      </c>
      <c r="C30" s="63">
        <f t="shared" si="3"/>
        <v>42651.787299999996</v>
      </c>
      <c r="D30" s="22"/>
      <c r="E30" s="22"/>
      <c r="F30" s="22"/>
      <c r="G30" s="6"/>
      <c r="H30" s="26">
        <v>-4.4753226831441939</v>
      </c>
      <c r="I30" s="26">
        <v>-8.1063703999214916</v>
      </c>
      <c r="J30" s="42"/>
      <c r="K30" s="22">
        <f t="shared" si="1"/>
        <v>54.707949999996345</v>
      </c>
      <c r="L30" s="43"/>
      <c r="M30" s="22"/>
      <c r="N30" s="43"/>
      <c r="O30" s="43"/>
      <c r="P30" s="23">
        <v>100.53338764790209</v>
      </c>
      <c r="Q30" s="43"/>
      <c r="R30" s="43"/>
      <c r="S30" s="6"/>
      <c r="T30" s="43"/>
      <c r="U30" s="44"/>
    </row>
    <row r="31" spans="1:21" s="45" customFormat="1" ht="13.2">
      <c r="A31" s="38" t="s">
        <v>15</v>
      </c>
      <c r="B31" s="62">
        <v>12</v>
      </c>
      <c r="C31" s="63">
        <f t="shared" si="3"/>
        <v>42681.627999999997</v>
      </c>
      <c r="D31" s="22"/>
      <c r="E31" s="22"/>
      <c r="F31" s="22"/>
      <c r="G31" s="6"/>
      <c r="H31" s="26">
        <v>-4.5659499779731876</v>
      </c>
      <c r="I31" s="26">
        <v>-7.8180454750976924</v>
      </c>
      <c r="J31" s="42"/>
      <c r="K31" s="22">
        <f t="shared" si="1"/>
        <v>29.840700000000652</v>
      </c>
      <c r="L31" s="43"/>
      <c r="M31" s="22"/>
      <c r="N31" s="43"/>
      <c r="O31" s="43"/>
      <c r="P31" s="23">
        <v>100.53338764790209</v>
      </c>
      <c r="Q31" s="43"/>
      <c r="R31" s="43"/>
      <c r="S31" s="6"/>
      <c r="T31" s="43"/>
      <c r="U31" s="44"/>
    </row>
    <row r="32" spans="1:21" ht="13.2">
      <c r="A32" s="38"/>
      <c r="B32" s="62">
        <v>12.4</v>
      </c>
      <c r="C32" s="63">
        <f t="shared" si="3"/>
        <v>42721.4156</v>
      </c>
      <c r="H32" s="26">
        <v>-4.4266748528828428</v>
      </c>
      <c r="I32" s="26">
        <v>-7.8722300857851577</v>
      </c>
      <c r="J32" s="42"/>
      <c r="K32" s="22">
        <f t="shared" si="1"/>
        <v>39.787600000003295</v>
      </c>
      <c r="L32" s="27"/>
      <c r="N32" s="27"/>
      <c r="O32" s="27"/>
      <c r="P32" s="23">
        <v>100.53338764790209</v>
      </c>
      <c r="Q32" s="27"/>
      <c r="R32" s="27"/>
      <c r="T32" s="27"/>
      <c r="U32" s="28"/>
    </row>
    <row r="33" spans="1:21" ht="13.2">
      <c r="A33" s="38"/>
      <c r="B33" s="62">
        <v>13.15</v>
      </c>
      <c r="C33" s="63">
        <f t="shared" si="3"/>
        <v>42796.017350000002</v>
      </c>
      <c r="H33" s="26">
        <v>-3.5566701500176898</v>
      </c>
      <c r="I33" s="26">
        <v>-6.8989048500112133</v>
      </c>
      <c r="J33" s="42"/>
      <c r="K33" s="22">
        <f t="shared" si="1"/>
        <v>74.60175000000163</v>
      </c>
      <c r="L33" s="27"/>
      <c r="N33" s="27"/>
      <c r="O33" s="27"/>
      <c r="P33" s="23">
        <v>100.53338764790209</v>
      </c>
      <c r="Q33" s="27"/>
      <c r="R33" s="27"/>
      <c r="T33" s="27"/>
      <c r="U33" s="28"/>
    </row>
    <row r="34" spans="1:21" ht="13.2">
      <c r="A34" s="38"/>
      <c r="B34" s="62">
        <v>13.5</v>
      </c>
      <c r="C34" s="63">
        <f t="shared" si="3"/>
        <v>42830.8315</v>
      </c>
      <c r="H34" s="26">
        <v>-3.8413206012129537</v>
      </c>
      <c r="I34" s="26">
        <v>-7.1405575111511261</v>
      </c>
      <c r="J34" s="42"/>
      <c r="K34" s="22">
        <f t="shared" si="1"/>
        <v>34.814149999998335</v>
      </c>
      <c r="L34" s="27"/>
      <c r="N34" s="27"/>
      <c r="O34" s="27"/>
      <c r="P34" s="23">
        <v>100.53338764790209</v>
      </c>
      <c r="Q34" s="27"/>
      <c r="R34" s="27"/>
      <c r="T34" s="27"/>
      <c r="U34" s="28"/>
    </row>
    <row r="35" spans="1:21" ht="13.2">
      <c r="A35" s="38"/>
      <c r="B35" s="62">
        <v>13.8</v>
      </c>
      <c r="C35" s="63">
        <f t="shared" si="3"/>
        <v>42860.672200000001</v>
      </c>
      <c r="H35" s="26">
        <v>-4.146125922006652</v>
      </c>
      <c r="I35" s="26">
        <v>-6.9525928772766443</v>
      </c>
      <c r="J35" s="42"/>
      <c r="K35" s="22">
        <f t="shared" ref="K35:K66" si="4">C35-C34</f>
        <v>29.840700000000652</v>
      </c>
      <c r="L35" s="28"/>
      <c r="N35" s="28"/>
      <c r="O35" s="28"/>
      <c r="P35" s="23">
        <v>100.53338764790209</v>
      </c>
      <c r="Q35" s="28"/>
      <c r="R35" s="28"/>
      <c r="T35" s="28"/>
      <c r="U35" s="28"/>
    </row>
    <row r="36" spans="1:21" ht="13.2">
      <c r="A36" s="38"/>
      <c r="B36" s="62">
        <v>14.2</v>
      </c>
      <c r="C36" s="63">
        <f t="shared" si="3"/>
        <v>42900.459799999997</v>
      </c>
      <c r="H36" s="26">
        <v>-3.9042063888024541</v>
      </c>
      <c r="I36" s="26">
        <v>-6.9095009020086362</v>
      </c>
      <c r="J36" s="42"/>
      <c r="K36" s="22">
        <f t="shared" si="4"/>
        <v>39.787599999996019</v>
      </c>
      <c r="L36" s="28"/>
      <c r="N36" s="28"/>
      <c r="O36" s="28"/>
      <c r="P36" s="23">
        <v>100.53338764790209</v>
      </c>
      <c r="Q36" s="28"/>
      <c r="R36" s="28"/>
      <c r="T36" s="28"/>
      <c r="U36" s="28"/>
    </row>
    <row r="37" spans="1:21" ht="13.2">
      <c r="A37" s="38"/>
      <c r="B37" s="62">
        <v>14.6</v>
      </c>
      <c r="C37" s="63">
        <f t="shared" si="3"/>
        <v>42940.2474</v>
      </c>
      <c r="H37" s="26">
        <v>-4.1735123634060738</v>
      </c>
      <c r="I37" s="26">
        <v>-7.5777814861993651</v>
      </c>
      <c r="J37" s="42"/>
      <c r="K37" s="22">
        <f t="shared" si="4"/>
        <v>39.787600000003295</v>
      </c>
      <c r="P37" s="23">
        <v>100.53338764790209</v>
      </c>
    </row>
    <row r="38" spans="1:21" ht="13.2">
      <c r="A38" s="38"/>
      <c r="B38" s="62">
        <v>14.8</v>
      </c>
      <c r="C38" s="63">
        <f t="shared" si="3"/>
        <v>42960.141199999998</v>
      </c>
      <c r="E38" s="64"/>
      <c r="F38" s="64"/>
      <c r="G38" s="45"/>
      <c r="H38" s="26">
        <v>-4.3877764075680306</v>
      </c>
      <c r="I38" s="26">
        <v>-8.629860031469768</v>
      </c>
      <c r="J38" s="42"/>
      <c r="K38" s="22">
        <f t="shared" si="4"/>
        <v>19.893799999998009</v>
      </c>
      <c r="P38" s="23">
        <v>100.53338764790209</v>
      </c>
    </row>
    <row r="39" spans="1:21" ht="13.2">
      <c r="A39" s="38"/>
      <c r="B39" s="62">
        <v>15.4</v>
      </c>
      <c r="C39" s="63">
        <f t="shared" si="3"/>
        <v>43019.8226</v>
      </c>
      <c r="E39" s="64"/>
      <c r="F39" s="64"/>
      <c r="G39" s="45"/>
      <c r="H39" s="26">
        <v>-4.3693578407149873</v>
      </c>
      <c r="I39" s="26">
        <v>-7.1073228173950955</v>
      </c>
      <c r="J39" s="42"/>
      <c r="K39" s="22">
        <f t="shared" si="4"/>
        <v>59.681400000001304</v>
      </c>
      <c r="P39" s="23">
        <v>100.53338764790209</v>
      </c>
    </row>
    <row r="40" spans="1:21" ht="13.2">
      <c r="A40" s="38"/>
      <c r="B40" s="62">
        <v>16.2</v>
      </c>
      <c r="C40" s="63">
        <f t="shared" si="3"/>
        <v>43099.397799999999</v>
      </c>
      <c r="D40" s="29"/>
      <c r="E40" s="30"/>
      <c r="F40" s="64"/>
      <c r="G40" s="45"/>
      <c r="H40" s="26">
        <v>-4.0382770793802072</v>
      </c>
      <c r="I40" s="26">
        <v>-7.6716041930943231</v>
      </c>
      <c r="J40" s="42"/>
      <c r="K40" s="22">
        <f t="shared" si="4"/>
        <v>79.575199999999313</v>
      </c>
      <c r="M40" s="29"/>
      <c r="P40" s="23">
        <v>100.53338764790209</v>
      </c>
    </row>
    <row r="41" spans="1:21" s="67" customFormat="1" ht="13.2">
      <c r="A41" s="31" t="s">
        <v>21</v>
      </c>
      <c r="B41" s="65">
        <v>16.75</v>
      </c>
      <c r="C41" s="66">
        <v>43153.960083976708</v>
      </c>
      <c r="D41" s="66">
        <v>43153.960083976708</v>
      </c>
      <c r="E41" s="66">
        <v>541.15579770793079</v>
      </c>
      <c r="F41" s="66">
        <v>541.15579770793079</v>
      </c>
      <c r="G41" s="67" t="s">
        <v>13</v>
      </c>
      <c r="H41" s="32">
        <f>AVERAGE(H40,H42)</f>
        <v>-4.1105277474990505</v>
      </c>
      <c r="I41" s="32">
        <f>AVERAGE(I42,I40)</f>
        <v>-7.8896996744958345</v>
      </c>
      <c r="J41" s="55">
        <v>-2.2999999999999998</v>
      </c>
      <c r="K41" s="56">
        <f t="shared" si="4"/>
        <v>54.562283976709296</v>
      </c>
      <c r="M41" s="66">
        <v>43153.960083976708</v>
      </c>
      <c r="N41" s="67">
        <v>-4.5</v>
      </c>
      <c r="O41" s="67">
        <v>-4.5</v>
      </c>
      <c r="P41" s="23">
        <v>100.53338764790209</v>
      </c>
      <c r="S41" s="6"/>
    </row>
    <row r="42" spans="1:21" ht="13.2">
      <c r="A42" s="61">
        <f>1/239</f>
        <v>4.1841004184100415E-3</v>
      </c>
      <c r="B42" s="62">
        <v>16.8</v>
      </c>
      <c r="C42" s="63">
        <f t="shared" ref="C42:C51" si="5" xml:space="preserve"> 239.36*B42 + 39145</f>
        <v>43166.248</v>
      </c>
      <c r="E42" s="64"/>
      <c r="F42" s="64"/>
      <c r="G42" s="45"/>
      <c r="H42" s="26">
        <v>-4.1827784156178938</v>
      </c>
      <c r="I42" s="26">
        <v>-8.107795155897346</v>
      </c>
      <c r="J42" s="42"/>
      <c r="K42" s="22">
        <f t="shared" si="4"/>
        <v>12.287916023291473</v>
      </c>
      <c r="P42" s="14">
        <f>10000*(B52-B41)/(C52-C41)</f>
        <v>41.777755831357332</v>
      </c>
      <c r="Q42" s="14">
        <f>P44-S42</f>
        <v>21.533568198934287</v>
      </c>
      <c r="R42" s="14">
        <f>10000*(B52-B41)/((C52-E52)-(C41+E41))</f>
        <v>-655.94034056211376</v>
      </c>
      <c r="S42" s="14">
        <f>10000*(B52-B41)/((C52+E52)-(C41-E41))</f>
        <v>20.244187632423046</v>
      </c>
      <c r="T42" s="14">
        <f>10000*((B52+0.3)-(B41-0.3))/((C52+F52)-(C41-F41))</f>
        <v>22.625856765649292</v>
      </c>
      <c r="U42" s="34"/>
    </row>
    <row r="43" spans="1:21" ht="13.2">
      <c r="A43" s="61">
        <f>1000/239</f>
        <v>4.1841004184100417</v>
      </c>
      <c r="B43" s="62">
        <v>17.2</v>
      </c>
      <c r="C43" s="63">
        <f t="shared" si="5"/>
        <v>43261.991999999998</v>
      </c>
      <c r="E43" s="64"/>
      <c r="F43" s="64"/>
      <c r="G43" s="45"/>
      <c r="H43" s="26">
        <v>-3.9664363998342629</v>
      </c>
      <c r="I43" s="26">
        <v>-8.0342129068296124</v>
      </c>
      <c r="J43" s="42"/>
      <c r="K43" s="22">
        <f t="shared" si="4"/>
        <v>95.743999999998778</v>
      </c>
      <c r="P43" s="23">
        <v>41.777755831357332</v>
      </c>
    </row>
    <row r="44" spans="1:21" ht="13.2">
      <c r="A44" s="38" t="s">
        <v>15</v>
      </c>
      <c r="B44" s="62">
        <v>17.8</v>
      </c>
      <c r="C44" s="63">
        <f t="shared" si="5"/>
        <v>43405.608</v>
      </c>
      <c r="E44" s="64"/>
      <c r="F44" s="64"/>
      <c r="G44" s="45"/>
      <c r="H44" s="26">
        <v>-4.1660346078331694</v>
      </c>
      <c r="I44" s="26">
        <v>-8.1897013314010731</v>
      </c>
      <c r="J44" s="42"/>
      <c r="K44" s="22">
        <f t="shared" si="4"/>
        <v>143.6160000000018</v>
      </c>
      <c r="P44" s="23">
        <v>41.777755831357332</v>
      </c>
    </row>
    <row r="45" spans="1:21" ht="13.2">
      <c r="A45" s="38"/>
      <c r="B45" s="62">
        <v>18.399999999999999</v>
      </c>
      <c r="C45" s="63">
        <f t="shared" si="5"/>
        <v>43549.224000000002</v>
      </c>
      <c r="E45" s="64"/>
      <c r="F45" s="64"/>
      <c r="G45" s="45"/>
      <c r="H45" s="26">
        <v>-3.9547413903703794</v>
      </c>
      <c r="I45" s="26">
        <v>-7.8120164126468463</v>
      </c>
      <c r="J45" s="42"/>
      <c r="K45" s="22">
        <f t="shared" si="4"/>
        <v>143.6160000000018</v>
      </c>
      <c r="P45" s="23">
        <v>41.777755831357332</v>
      </c>
    </row>
    <row r="46" spans="1:21" ht="13.2">
      <c r="A46" s="38"/>
      <c r="B46" s="62">
        <v>18.95</v>
      </c>
      <c r="C46" s="63">
        <f t="shared" si="5"/>
        <v>43680.872000000003</v>
      </c>
      <c r="E46" s="64"/>
      <c r="F46" s="64"/>
      <c r="G46" s="45"/>
      <c r="H46" s="26">
        <v>-3.7963059538447355</v>
      </c>
      <c r="I46" s="26">
        <v>-7.1517518021576052</v>
      </c>
      <c r="J46" s="42"/>
      <c r="K46" s="22">
        <f t="shared" si="4"/>
        <v>131.64800000000105</v>
      </c>
      <c r="P46" s="23">
        <v>41.777755831357332</v>
      </c>
    </row>
    <row r="47" spans="1:21" ht="13.2">
      <c r="A47" s="38"/>
      <c r="B47" s="62">
        <v>19.7</v>
      </c>
      <c r="C47" s="63">
        <f t="shared" si="5"/>
        <v>43860.392</v>
      </c>
      <c r="E47" s="64"/>
      <c r="F47" s="64"/>
      <c r="G47" s="45"/>
      <c r="H47" s="26">
        <v>-3.9036198687636623</v>
      </c>
      <c r="I47" s="26">
        <v>-8.0401477517213475</v>
      </c>
      <c r="J47" s="42"/>
      <c r="K47" s="22">
        <f t="shared" si="4"/>
        <v>179.5199999999968</v>
      </c>
      <c r="P47" s="23">
        <v>41.777755831357332</v>
      </c>
    </row>
    <row r="48" spans="1:21" ht="13.2">
      <c r="A48" s="38"/>
      <c r="B48" s="62">
        <v>20.399999999999999</v>
      </c>
      <c r="C48" s="63">
        <f t="shared" si="5"/>
        <v>44027.944000000003</v>
      </c>
      <c r="E48" s="64"/>
      <c r="F48" s="64"/>
      <c r="G48" s="45"/>
      <c r="H48" s="26">
        <v>-4.2369076956727083</v>
      </c>
      <c r="I48" s="26">
        <v>-6.7759267493199467</v>
      </c>
      <c r="J48" s="42"/>
      <c r="K48" s="22">
        <f t="shared" si="4"/>
        <v>167.55200000000332</v>
      </c>
      <c r="P48" s="23">
        <v>41.777755831357332</v>
      </c>
    </row>
    <row r="49" spans="1:19" ht="13.2">
      <c r="A49" s="38"/>
      <c r="B49" s="62">
        <v>20.75</v>
      </c>
      <c r="C49" s="63">
        <f t="shared" si="5"/>
        <v>44111.72</v>
      </c>
      <c r="E49" s="64"/>
      <c r="F49" s="64"/>
      <c r="G49" s="45"/>
      <c r="H49" s="26">
        <v>-4.4871715094262585</v>
      </c>
      <c r="I49" s="26">
        <v>-9.3430835211224306</v>
      </c>
      <c r="J49" s="42"/>
      <c r="K49" s="22">
        <f t="shared" si="4"/>
        <v>83.775999999998021</v>
      </c>
      <c r="P49" s="23">
        <v>41.777755831357332</v>
      </c>
    </row>
    <row r="50" spans="1:19" ht="13.2">
      <c r="A50" s="68" t="s">
        <v>22</v>
      </c>
      <c r="B50" s="51">
        <v>21.2</v>
      </c>
      <c r="C50" s="63">
        <f t="shared" si="5"/>
        <v>44219.432000000001</v>
      </c>
      <c r="D50" s="22">
        <v>46012.363153728562</v>
      </c>
      <c r="E50" s="64">
        <v>786.98547369870323</v>
      </c>
      <c r="F50" s="64">
        <v>786.98547369870323</v>
      </c>
      <c r="G50" s="13" t="s">
        <v>13</v>
      </c>
      <c r="H50" s="51">
        <f>AVERAGE(H49,H51)</f>
        <v>-4.544955610347218</v>
      </c>
      <c r="I50" s="51">
        <f>AVERAGE(I49,I51)</f>
        <v>-9.2896657490157253</v>
      </c>
      <c r="J50" s="42">
        <v>-1.5</v>
      </c>
      <c r="K50" s="22">
        <f t="shared" si="4"/>
        <v>107.71199999999953</v>
      </c>
      <c r="O50" s="6">
        <v>-4.2</v>
      </c>
      <c r="P50" s="23">
        <v>41.777755831357332</v>
      </c>
    </row>
    <row r="51" spans="1:19" ht="13.2">
      <c r="A51" s="21"/>
      <c r="B51" s="17">
        <v>21.3</v>
      </c>
      <c r="C51" s="63">
        <f t="shared" si="5"/>
        <v>44243.368000000002</v>
      </c>
      <c r="D51" s="69"/>
      <c r="E51" s="30"/>
      <c r="F51" s="64"/>
      <c r="G51" s="45"/>
      <c r="H51" s="26">
        <v>-4.6027397112681783</v>
      </c>
      <c r="I51" s="26">
        <v>-9.23624797690902</v>
      </c>
      <c r="J51" s="42"/>
      <c r="K51" s="22">
        <f t="shared" si="4"/>
        <v>23.936000000001513</v>
      </c>
      <c r="M51" s="69"/>
      <c r="P51" s="23">
        <v>41.777755831357332</v>
      </c>
    </row>
    <row r="52" spans="1:19" s="67" customFormat="1" ht="13.2">
      <c r="A52" s="31" t="s">
        <v>23</v>
      </c>
      <c r="B52" s="65">
        <v>21.85</v>
      </c>
      <c r="C52" s="66">
        <v>44374.705406101471</v>
      </c>
      <c r="D52" s="66">
        <v>44374.705406101471</v>
      </c>
      <c r="E52" s="66">
        <v>757.34049786099808</v>
      </c>
      <c r="F52" s="66">
        <v>757.34049786099808</v>
      </c>
      <c r="H52" s="32">
        <v>-4.0959260863532876</v>
      </c>
      <c r="I52" s="32">
        <v>-9.2853627507433316</v>
      </c>
      <c r="J52" s="55">
        <v>-2.2000000000000002</v>
      </c>
      <c r="K52" s="56">
        <f t="shared" si="4"/>
        <v>131.33740610146924</v>
      </c>
      <c r="M52" s="66">
        <v>44374.705406101471</v>
      </c>
      <c r="N52" s="67">
        <v>-4.7</v>
      </c>
      <c r="O52" s="67">
        <v>-4.7</v>
      </c>
      <c r="P52" s="70">
        <v>43.839269500105964</v>
      </c>
      <c r="S52" s="6"/>
    </row>
    <row r="53" spans="1:19" ht="13.2">
      <c r="A53" s="6">
        <f>1000/228</f>
        <v>4.3859649122807021</v>
      </c>
      <c r="B53" s="39">
        <v>22.3</v>
      </c>
      <c r="C53" s="9">
        <f t="shared" ref="C53:C60" si="6" xml:space="preserve"> 228.11*B53 + 39391</f>
        <v>44477.853000000003</v>
      </c>
      <c r="H53" s="26">
        <v>-3.7479086724125135</v>
      </c>
      <c r="I53" s="26">
        <v>-9.6094420396851046</v>
      </c>
      <c r="J53" s="42"/>
      <c r="K53" s="22">
        <f t="shared" si="4"/>
        <v>103.14759389853134</v>
      </c>
      <c r="P53" s="23">
        <v>43.839269500105964</v>
      </c>
    </row>
    <row r="54" spans="1:19" ht="13.2">
      <c r="A54" s="38"/>
      <c r="B54" s="39">
        <v>22.85</v>
      </c>
      <c r="C54" s="9">
        <f t="shared" si="6"/>
        <v>44603.313500000004</v>
      </c>
      <c r="H54" s="26">
        <v>-4.1306304718017648</v>
      </c>
      <c r="I54" s="26">
        <v>-9.3658916057915373</v>
      </c>
      <c r="J54" s="42"/>
      <c r="K54" s="22">
        <f t="shared" si="4"/>
        <v>125.46050000000105</v>
      </c>
      <c r="P54" s="14">
        <v>43.839269500105964</v>
      </c>
    </row>
    <row r="55" spans="1:19" ht="13.2">
      <c r="A55" s="38"/>
      <c r="B55" s="39">
        <v>23.2</v>
      </c>
      <c r="C55" s="9">
        <f t="shared" si="6"/>
        <v>44683.152000000002</v>
      </c>
      <c r="H55" s="26">
        <v>-3.9361903965169747</v>
      </c>
      <c r="I55" s="26">
        <v>-9.5551120666271725</v>
      </c>
      <c r="J55" s="42"/>
      <c r="K55" s="22">
        <f t="shared" si="4"/>
        <v>79.838499999998021</v>
      </c>
      <c r="P55" s="23">
        <v>43.839269500105964</v>
      </c>
    </row>
    <row r="56" spans="1:19" ht="13.2">
      <c r="A56" s="38"/>
      <c r="B56" s="39">
        <v>23.9</v>
      </c>
      <c r="C56" s="9">
        <f t="shared" si="6"/>
        <v>44842.828999999998</v>
      </c>
      <c r="H56" s="26">
        <v>-4.3929337789874738</v>
      </c>
      <c r="I56" s="26">
        <v>-8.9778334128964996</v>
      </c>
      <c r="J56" s="42"/>
      <c r="K56" s="22">
        <f t="shared" si="4"/>
        <v>159.67699999999604</v>
      </c>
      <c r="P56" s="23">
        <v>43.839269500105964</v>
      </c>
    </row>
    <row r="57" spans="1:19" ht="13.2">
      <c r="A57" s="38"/>
      <c r="B57" s="39">
        <v>24.9</v>
      </c>
      <c r="C57" s="9">
        <f t="shared" si="6"/>
        <v>45070.938999999998</v>
      </c>
      <c r="H57" s="26">
        <v>-4.37773444412157</v>
      </c>
      <c r="I57" s="26">
        <v>-10.172043197524317</v>
      </c>
      <c r="J57" s="42"/>
      <c r="K57" s="22">
        <f t="shared" si="4"/>
        <v>228.11000000000058</v>
      </c>
      <c r="P57" s="23">
        <v>43.839269500105964</v>
      </c>
    </row>
    <row r="58" spans="1:19" ht="13.2">
      <c r="A58" s="38"/>
      <c r="B58" s="39">
        <v>25.3</v>
      </c>
      <c r="C58" s="9">
        <f t="shared" si="6"/>
        <v>45162.183000000005</v>
      </c>
      <c r="H58" s="26">
        <v>-4.2029800767269787</v>
      </c>
      <c r="I58" s="26">
        <v>-9.9172299342191081</v>
      </c>
      <c r="J58" s="42"/>
      <c r="K58" s="22">
        <f t="shared" si="4"/>
        <v>91.244000000006054</v>
      </c>
      <c r="P58" s="23">
        <v>43.839269500105964</v>
      </c>
    </row>
    <row r="59" spans="1:19" ht="13.2">
      <c r="A59" s="38"/>
      <c r="B59" s="39">
        <v>25.75</v>
      </c>
      <c r="C59" s="9">
        <f t="shared" si="6"/>
        <v>45264.832500000004</v>
      </c>
      <c r="H59" s="26">
        <v>-4.3084015393465878</v>
      </c>
      <c r="I59" s="26">
        <v>-9.7803231386788259</v>
      </c>
      <c r="J59" s="42"/>
      <c r="K59" s="22">
        <f t="shared" si="4"/>
        <v>102.64949999999953</v>
      </c>
      <c r="P59" s="23">
        <v>43.839269500105964</v>
      </c>
    </row>
    <row r="60" spans="1:19" ht="13.2">
      <c r="A60" s="38"/>
      <c r="B60" s="39">
        <v>26.2</v>
      </c>
      <c r="C60" s="9">
        <f t="shared" si="6"/>
        <v>45367.482000000004</v>
      </c>
      <c r="D60" s="29"/>
      <c r="E60" s="30"/>
      <c r="H60" s="26">
        <v>-4.3799756006461008</v>
      </c>
      <c r="I60" s="26">
        <v>-9.5115293205377416</v>
      </c>
      <c r="J60" s="42"/>
      <c r="K60" s="22">
        <f t="shared" si="4"/>
        <v>102.64949999999953</v>
      </c>
      <c r="M60" s="29"/>
      <c r="P60" s="23">
        <v>43.839269500105964</v>
      </c>
    </row>
    <row r="61" spans="1:19" s="67" customFormat="1" ht="13.2">
      <c r="A61" s="31" t="s">
        <v>24</v>
      </c>
      <c r="B61" s="65">
        <v>26.6</v>
      </c>
      <c r="C61" s="66">
        <v>45458.208861830477</v>
      </c>
      <c r="D61" s="66">
        <v>45458.208861830477</v>
      </c>
      <c r="E61" s="66">
        <v>696.87993174392</v>
      </c>
      <c r="F61" s="66">
        <v>696.87993174392</v>
      </c>
      <c r="G61" s="67" t="s">
        <v>13</v>
      </c>
      <c r="H61" s="32">
        <f>AVERAGE(H60,H62)</f>
        <v>-4.4862758813748815</v>
      </c>
      <c r="I61" s="32">
        <f>AVERAGE(I60,I62)</f>
        <v>-9.1389454212767394</v>
      </c>
      <c r="J61" s="55">
        <v>-2.2999999999999998</v>
      </c>
      <c r="K61" s="56">
        <f t="shared" si="4"/>
        <v>90.726861830473354</v>
      </c>
      <c r="M61" s="66">
        <v>45458.208861830477</v>
      </c>
      <c r="N61" s="67">
        <v>-4.5</v>
      </c>
      <c r="O61" s="67">
        <v>-4.5</v>
      </c>
      <c r="P61" s="23">
        <v>43.839269500105964</v>
      </c>
      <c r="S61" s="6"/>
    </row>
    <row r="62" spans="1:19" ht="13.2">
      <c r="A62" s="39">
        <f>1000/74</f>
        <v>13.513513513513514</v>
      </c>
      <c r="B62" s="39">
        <v>26.7</v>
      </c>
      <c r="C62" s="9">
        <f t="shared" ref="C62:C69" si="7" xml:space="preserve"> 73.997*B62 + 43490</f>
        <v>45465.719899999996</v>
      </c>
      <c r="H62" s="26">
        <v>-4.5925761621036614</v>
      </c>
      <c r="I62" s="26">
        <v>-8.7663615220157372</v>
      </c>
      <c r="J62" s="42"/>
      <c r="K62" s="22">
        <f t="shared" si="4"/>
        <v>7.5110381695194519</v>
      </c>
      <c r="P62" s="14">
        <f>10000*(B70-B61)/(C70-C61)</f>
        <v>135.14077870458777</v>
      </c>
    </row>
    <row r="63" spans="1:19" ht="13.2">
      <c r="A63" s="38"/>
      <c r="B63" s="39">
        <v>27.3</v>
      </c>
      <c r="C63" s="9">
        <f t="shared" si="7"/>
        <v>45510.1181</v>
      </c>
      <c r="H63" s="26">
        <v>-4.3628948658606017</v>
      </c>
      <c r="I63" s="26">
        <v>-9.6414887211312248</v>
      </c>
      <c r="J63" s="42"/>
      <c r="K63" s="22">
        <f t="shared" si="4"/>
        <v>44.398200000003271</v>
      </c>
      <c r="P63" s="23">
        <v>135.14077870458777</v>
      </c>
    </row>
    <row r="64" spans="1:19" ht="13.2">
      <c r="A64" s="38"/>
      <c r="B64" s="39">
        <v>27.85</v>
      </c>
      <c r="C64" s="9">
        <f t="shared" si="7"/>
        <v>45550.816449999998</v>
      </c>
      <c r="H64" s="26">
        <v>-4.2734765588690573</v>
      </c>
      <c r="I64" s="26">
        <v>-9.6981280189597996</v>
      </c>
      <c r="J64" s="42"/>
      <c r="K64" s="22">
        <f t="shared" si="4"/>
        <v>40.698349999998754</v>
      </c>
      <c r="P64" s="23">
        <v>135.14077870458777</v>
      </c>
    </row>
    <row r="65" spans="1:19" ht="13.2">
      <c r="A65" s="38"/>
      <c r="B65" s="39">
        <v>29.35</v>
      </c>
      <c r="C65" s="9">
        <f t="shared" si="7"/>
        <v>45661.811950000003</v>
      </c>
      <c r="H65" s="26">
        <v>-3.863722243700646</v>
      </c>
      <c r="I65" s="26">
        <v>-9.82231686994397</v>
      </c>
      <c r="J65" s="42"/>
      <c r="K65" s="22">
        <f t="shared" si="4"/>
        <v>110.99550000000454</v>
      </c>
      <c r="P65" s="23">
        <v>135.14077870458777</v>
      </c>
    </row>
    <row r="66" spans="1:19" ht="13.2">
      <c r="A66" s="38"/>
      <c r="B66" s="39">
        <v>29.9</v>
      </c>
      <c r="C66" s="9">
        <f t="shared" si="7"/>
        <v>45702.510300000002</v>
      </c>
      <c r="H66" s="26">
        <v>-4.650505035115823</v>
      </c>
      <c r="I66" s="26">
        <v>-9.5491391752902803</v>
      </c>
      <c r="J66" s="42"/>
      <c r="K66" s="22">
        <f t="shared" si="4"/>
        <v>40.698349999998754</v>
      </c>
      <c r="N66" s="17"/>
      <c r="O66" s="17"/>
      <c r="P66" s="23">
        <v>135.14077870458777</v>
      </c>
    </row>
    <row r="67" spans="1:19" s="74" customFormat="1" ht="13.2">
      <c r="A67" s="71"/>
      <c r="B67" s="72">
        <v>30.2</v>
      </c>
      <c r="C67" s="9">
        <f t="shared" si="7"/>
        <v>45724.7094</v>
      </c>
      <c r="D67" s="22"/>
      <c r="E67" s="73"/>
      <c r="F67" s="73"/>
      <c r="H67" s="75">
        <v>-4.5740786065593175</v>
      </c>
      <c r="I67" s="75">
        <v>-9.5987655684605251</v>
      </c>
      <c r="J67" s="76"/>
      <c r="K67" s="22">
        <f t="shared" ref="K67:K93" si="8">C67-C66</f>
        <v>22.199099999997998</v>
      </c>
      <c r="M67" s="22"/>
      <c r="P67" s="23">
        <v>135.14077870458777</v>
      </c>
      <c r="S67" s="6"/>
    </row>
    <row r="68" spans="1:19" s="45" customFormat="1" ht="13.2">
      <c r="A68" s="38"/>
      <c r="B68" s="39">
        <v>30.55</v>
      </c>
      <c r="C68" s="9">
        <f t="shared" si="7"/>
        <v>45750.608350000002</v>
      </c>
      <c r="D68" s="22"/>
      <c r="E68" s="64"/>
      <c r="F68" s="64"/>
      <c r="H68" s="26">
        <v>-4.1585100058008528</v>
      </c>
      <c r="I68" s="26">
        <v>-9.614486104209055</v>
      </c>
      <c r="J68" s="42"/>
      <c r="K68" s="22">
        <f t="shared" si="8"/>
        <v>25.898950000002515</v>
      </c>
      <c r="M68" s="22"/>
      <c r="P68" s="23">
        <v>135.14077870458777</v>
      </c>
      <c r="S68" s="6"/>
    </row>
    <row r="69" spans="1:19" ht="13.2">
      <c r="A69" s="38"/>
      <c r="B69" s="17">
        <v>31.1</v>
      </c>
      <c r="C69" s="9">
        <f t="shared" si="7"/>
        <v>45791.306700000001</v>
      </c>
      <c r="D69" s="29"/>
      <c r="E69" s="30"/>
      <c r="H69" s="26">
        <v>-4.0140312399651261</v>
      </c>
      <c r="I69" s="26">
        <v>-9.8924252241896831</v>
      </c>
      <c r="J69" s="42"/>
      <c r="K69" s="22">
        <f t="shared" si="8"/>
        <v>40.698349999998754</v>
      </c>
      <c r="M69" s="29"/>
      <c r="P69" s="23">
        <v>135.140778704588</v>
      </c>
    </row>
    <row r="70" spans="1:19" s="67" customFormat="1" ht="13.2">
      <c r="A70" s="31" t="s">
        <v>25</v>
      </c>
      <c r="B70" s="65">
        <v>31.3</v>
      </c>
      <c r="C70" s="33">
        <v>45805.994337469478</v>
      </c>
      <c r="D70" s="33">
        <v>45805.994337469478</v>
      </c>
      <c r="E70" s="34">
        <v>517.13031315938804</v>
      </c>
      <c r="F70" s="34">
        <v>517.13031315938804</v>
      </c>
      <c r="G70" s="67" t="s">
        <v>13</v>
      </c>
      <c r="H70" s="32">
        <f>AVERAGE(H69,H71)</f>
        <v>-3.8804163263937737</v>
      </c>
      <c r="I70" s="32">
        <f>AVERAGE(I69,I71)</f>
        <v>-9.3592269379768602</v>
      </c>
      <c r="J70" s="55">
        <v>-2.2000000000000002</v>
      </c>
      <c r="K70" s="56">
        <f t="shared" si="8"/>
        <v>14.687637469476613</v>
      </c>
      <c r="M70" s="33">
        <v>45805.994337469478</v>
      </c>
      <c r="N70" s="67">
        <v>-4.7</v>
      </c>
      <c r="O70" s="67">
        <v>-4.7</v>
      </c>
      <c r="P70" s="23">
        <v>61.322464692435638</v>
      </c>
      <c r="S70" s="6"/>
    </row>
    <row r="71" spans="1:19" ht="13.2">
      <c r="A71" s="39">
        <f>1000/163</f>
        <v>6.1349693251533743</v>
      </c>
      <c r="B71" s="17">
        <v>31.65</v>
      </c>
      <c r="C71" s="9">
        <f t="shared" ref="C71:C80" si="9" xml:space="preserve"> 163.07*B71 + 40702</f>
        <v>45863.165500000003</v>
      </c>
      <c r="H71" s="26">
        <v>-3.7468014128224212</v>
      </c>
      <c r="I71" s="26">
        <v>-8.8260286517640356</v>
      </c>
      <c r="J71" s="42"/>
      <c r="K71" s="22">
        <f t="shared" si="8"/>
        <v>57.17116253052518</v>
      </c>
      <c r="P71" s="23">
        <v>61.322464692435638</v>
      </c>
    </row>
    <row r="72" spans="1:19" ht="13.2">
      <c r="A72" s="38"/>
      <c r="B72" s="17">
        <v>32.15</v>
      </c>
      <c r="C72" s="9">
        <f t="shared" si="9"/>
        <v>45944.700499999999</v>
      </c>
      <c r="H72" s="26">
        <v>-4.5352423040252221</v>
      </c>
      <c r="I72" s="26">
        <v>-9.6572780297191265</v>
      </c>
      <c r="J72" s="42"/>
      <c r="K72" s="22">
        <f t="shared" si="8"/>
        <v>81.534999999996217</v>
      </c>
      <c r="P72" s="23">
        <v>61.322464692435638</v>
      </c>
    </row>
    <row r="73" spans="1:19" ht="13.2">
      <c r="A73" s="38"/>
      <c r="B73" s="17">
        <v>32.549999999999997</v>
      </c>
      <c r="C73" s="9">
        <f t="shared" si="9"/>
        <v>46009.928500000002</v>
      </c>
      <c r="H73" s="26">
        <v>-4.2625456536511317</v>
      </c>
      <c r="I73" s="26">
        <v>-9.996365787100725</v>
      </c>
      <c r="J73" s="42"/>
      <c r="K73" s="22">
        <f t="shared" si="8"/>
        <v>65.228000000002794</v>
      </c>
      <c r="P73" s="14">
        <f>10000*(B81-B70)/(C81-C70)</f>
        <v>61.322464692435638</v>
      </c>
    </row>
    <row r="74" spans="1:19" ht="13.2">
      <c r="A74" s="38"/>
      <c r="B74" s="17">
        <v>33.1</v>
      </c>
      <c r="C74" s="9">
        <f t="shared" si="9"/>
        <v>46099.616999999998</v>
      </c>
      <c r="H74" s="26">
        <v>-4.5459486846945678</v>
      </c>
      <c r="I74" s="26">
        <v>-9.9369985034731609</v>
      </c>
      <c r="J74" s="42"/>
      <c r="K74" s="22">
        <f t="shared" si="8"/>
        <v>89.688499999996566</v>
      </c>
      <c r="P74" s="23">
        <v>61.322464692435638</v>
      </c>
    </row>
    <row r="75" spans="1:19" ht="13.2">
      <c r="A75" s="38"/>
      <c r="B75" s="17">
        <v>33.6</v>
      </c>
      <c r="C75" s="9">
        <f t="shared" si="9"/>
        <v>46181.152000000002</v>
      </c>
      <c r="H75" s="26">
        <v>-4.3995852583253159</v>
      </c>
      <c r="I75" s="26">
        <v>-10.11825938613509</v>
      </c>
      <c r="J75" s="42"/>
      <c r="K75" s="22">
        <f t="shared" si="8"/>
        <v>81.535000000003492</v>
      </c>
      <c r="P75" s="23">
        <v>61.322464692435638</v>
      </c>
    </row>
    <row r="76" spans="1:19" ht="13.2">
      <c r="A76" s="38"/>
      <c r="B76" s="17">
        <v>34.1</v>
      </c>
      <c r="C76" s="9">
        <f t="shared" si="9"/>
        <v>46262.686999999998</v>
      </c>
      <c r="H76" s="26">
        <v>-4.3646220493111985</v>
      </c>
      <c r="I76" s="26">
        <v>-10.232226707147902</v>
      </c>
      <c r="J76" s="42"/>
      <c r="K76" s="22">
        <f t="shared" si="8"/>
        <v>81.534999999996217</v>
      </c>
      <c r="P76" s="23">
        <v>61.322464692435638</v>
      </c>
    </row>
    <row r="77" spans="1:19" ht="13.2">
      <c r="A77" s="38"/>
      <c r="B77" s="17">
        <v>34.549999999999997</v>
      </c>
      <c r="C77" s="9">
        <f t="shared" si="9"/>
        <v>46336.068500000001</v>
      </c>
      <c r="H77" s="26">
        <v>-4.0018945999907292</v>
      </c>
      <c r="I77" s="26">
        <v>-9.8919058111051203</v>
      </c>
      <c r="J77" s="42"/>
      <c r="K77" s="22">
        <f t="shared" si="8"/>
        <v>73.381500000003143</v>
      </c>
      <c r="P77" s="23">
        <v>61.322464692435638</v>
      </c>
    </row>
    <row r="78" spans="1:19" ht="13.2">
      <c r="A78" s="38"/>
      <c r="B78" s="17">
        <v>35.1</v>
      </c>
      <c r="C78" s="9">
        <f t="shared" si="9"/>
        <v>46425.756999999998</v>
      </c>
      <c r="H78" s="26">
        <v>-4.3900686089321761</v>
      </c>
      <c r="I78" s="26">
        <v>-9.7447112468530364</v>
      </c>
      <c r="J78" s="42"/>
      <c r="K78" s="22">
        <f t="shared" si="8"/>
        <v>89.688499999996566</v>
      </c>
      <c r="P78" s="23">
        <v>61.322464692435638</v>
      </c>
    </row>
    <row r="79" spans="1:19" s="45" customFormat="1" ht="13.2">
      <c r="A79" s="38"/>
      <c r="B79" s="39">
        <v>35.549999999999997</v>
      </c>
      <c r="C79" s="9">
        <f t="shared" si="9"/>
        <v>46499.138500000001</v>
      </c>
      <c r="D79" s="22"/>
      <c r="E79" s="64"/>
      <c r="F79" s="64"/>
      <c r="H79" s="26">
        <v>-4.5016998483983546</v>
      </c>
      <c r="I79" s="26">
        <v>-9.8847686201292522</v>
      </c>
      <c r="J79" s="42"/>
      <c r="K79" s="22">
        <f t="shared" si="8"/>
        <v>73.381500000003143</v>
      </c>
      <c r="M79" s="22"/>
      <c r="P79" s="23">
        <v>61.322464692435638</v>
      </c>
      <c r="S79" s="6"/>
    </row>
    <row r="80" spans="1:19" s="45" customFormat="1" ht="13.2">
      <c r="A80" s="38"/>
      <c r="B80" s="39">
        <v>36.049999999999997</v>
      </c>
      <c r="C80" s="9">
        <f t="shared" si="9"/>
        <v>46580.673499999997</v>
      </c>
      <c r="D80" s="29"/>
      <c r="E80" s="30"/>
      <c r="F80" s="64"/>
      <c r="H80" s="26">
        <v>-4.2440035712457753</v>
      </c>
      <c r="I80" s="26">
        <v>-9.3801727615202299</v>
      </c>
      <c r="J80" s="42"/>
      <c r="K80" s="22">
        <f t="shared" si="8"/>
        <v>81.534999999996217</v>
      </c>
      <c r="M80" s="29"/>
      <c r="P80" s="23">
        <v>61.322464692435638</v>
      </c>
      <c r="S80" s="6"/>
    </row>
    <row r="81" spans="1:19" s="80" customFormat="1" ht="13.2">
      <c r="A81" s="77" t="s">
        <v>26</v>
      </c>
      <c r="B81" s="78">
        <v>36.65</v>
      </c>
      <c r="C81" s="79">
        <v>46678.431547361979</v>
      </c>
      <c r="D81" s="79">
        <v>46678.431547361979</v>
      </c>
      <c r="E81" s="79">
        <v>556.01574917686378</v>
      </c>
      <c r="F81" s="79">
        <v>556.01574917686378</v>
      </c>
      <c r="G81" s="80" t="s">
        <v>13</v>
      </c>
      <c r="H81" s="32">
        <f>AVERAGE(H80,H82)</f>
        <v>-4.2189617689117256</v>
      </c>
      <c r="I81" s="32">
        <f>AVERAGE(I80,I82)</f>
        <v>-9.6301098124473299</v>
      </c>
      <c r="J81" s="55">
        <v>-2.2999999999999998</v>
      </c>
      <c r="K81" s="56">
        <f t="shared" si="8"/>
        <v>97.75804736198188</v>
      </c>
      <c r="M81" s="79">
        <v>46678.431547361979</v>
      </c>
      <c r="N81" s="80">
        <v>-4.5</v>
      </c>
      <c r="O81" s="80">
        <v>-4.5</v>
      </c>
      <c r="P81" s="23">
        <v>81.117424369944189</v>
      </c>
      <c r="S81" s="6"/>
    </row>
    <row r="82" spans="1:19" s="45" customFormat="1" ht="13.2">
      <c r="A82" s="39">
        <f>1000/123</f>
        <v>8.1300813008130088</v>
      </c>
      <c r="B82" s="81">
        <v>37.15</v>
      </c>
      <c r="C82" s="9">
        <f t="shared" ref="C82:C91" si="10" xml:space="preserve"> 123.28*B82 + 42160</f>
        <v>46739.851999999999</v>
      </c>
      <c r="D82" s="22"/>
      <c r="E82" s="64"/>
      <c r="F82" s="64"/>
      <c r="H82" s="26">
        <v>-4.1939199665776759</v>
      </c>
      <c r="I82" s="26">
        <v>-9.8800468633744281</v>
      </c>
      <c r="J82" s="42"/>
      <c r="K82" s="22">
        <f t="shared" si="8"/>
        <v>61.420452638019924</v>
      </c>
      <c r="M82" s="22"/>
      <c r="P82" s="23">
        <v>81.117424369944189</v>
      </c>
      <c r="S82" s="6"/>
    </row>
    <row r="83" spans="1:19" s="45" customFormat="1" ht="13.2">
      <c r="A83" s="38"/>
      <c r="B83" s="81">
        <v>37.75</v>
      </c>
      <c r="C83" s="9">
        <f t="shared" si="10"/>
        <v>46813.82</v>
      </c>
      <c r="D83" s="22"/>
      <c r="E83" s="64"/>
      <c r="F83" s="64"/>
      <c r="H83" s="26">
        <v>-3.3636390959889235</v>
      </c>
      <c r="I83" s="26">
        <v>-9.8280673065186974</v>
      </c>
      <c r="J83" s="42"/>
      <c r="K83" s="22">
        <f t="shared" si="8"/>
        <v>73.968000000000757</v>
      </c>
      <c r="M83" s="22"/>
      <c r="P83" s="23">
        <v>81.117424369944189</v>
      </c>
      <c r="S83" s="6"/>
    </row>
    <row r="84" spans="1:19" s="45" customFormat="1" ht="13.2">
      <c r="A84" s="38"/>
      <c r="B84" s="81">
        <v>38.15</v>
      </c>
      <c r="C84" s="9">
        <f t="shared" si="10"/>
        <v>46863.131999999998</v>
      </c>
      <c r="D84" s="22"/>
      <c r="E84" s="64"/>
      <c r="F84" s="64"/>
      <c r="H84" s="26">
        <v>-3.8837804603778752</v>
      </c>
      <c r="I84" s="26">
        <v>-9.7971221727306936</v>
      </c>
      <c r="J84" s="42"/>
      <c r="K84" s="22">
        <f t="shared" si="8"/>
        <v>49.311999999998079</v>
      </c>
      <c r="M84" s="22"/>
      <c r="P84" s="14">
        <f>10000*(B92-B81)/(C92-C81)</f>
        <v>81.117424369944189</v>
      </c>
      <c r="S84" s="6"/>
    </row>
    <row r="85" spans="1:19" s="45" customFormat="1" ht="13.2">
      <c r="A85" s="38"/>
      <c r="B85" s="81">
        <v>38.65</v>
      </c>
      <c r="C85" s="9">
        <f t="shared" si="10"/>
        <v>46924.771999999997</v>
      </c>
      <c r="D85" s="22"/>
      <c r="E85" s="64"/>
      <c r="F85" s="64"/>
      <c r="H85" s="26">
        <v>-3.724282604730714</v>
      </c>
      <c r="I85" s="26">
        <v>-9.7475627081698022</v>
      </c>
      <c r="J85" s="42"/>
      <c r="K85" s="22">
        <f t="shared" si="8"/>
        <v>61.639999999999418</v>
      </c>
      <c r="M85" s="22"/>
      <c r="P85" s="23">
        <v>81.117424369944189</v>
      </c>
      <c r="S85" s="6"/>
    </row>
    <row r="86" spans="1:19" s="45" customFormat="1" ht="13.2">
      <c r="A86" s="38"/>
      <c r="B86" s="81">
        <v>39.15</v>
      </c>
      <c r="C86" s="9">
        <f t="shared" si="10"/>
        <v>46986.411999999997</v>
      </c>
      <c r="D86" s="22"/>
      <c r="E86" s="64"/>
      <c r="F86" s="64"/>
      <c r="H86" s="26">
        <v>-3.6176654058483724</v>
      </c>
      <c r="I86" s="26">
        <v>-9.6984519350469611</v>
      </c>
      <c r="J86" s="42"/>
      <c r="K86" s="22">
        <f t="shared" si="8"/>
        <v>61.639999999999418</v>
      </c>
      <c r="M86" s="22"/>
      <c r="P86" s="23">
        <v>81.117424369944189</v>
      </c>
      <c r="S86" s="6"/>
    </row>
    <row r="87" spans="1:19" s="45" customFormat="1" ht="13.2">
      <c r="A87" s="38"/>
      <c r="B87" s="81">
        <v>39.700000000000003</v>
      </c>
      <c r="C87" s="9">
        <f t="shared" si="10"/>
        <v>47054.216</v>
      </c>
      <c r="D87" s="22"/>
      <c r="E87" s="64"/>
      <c r="F87" s="64"/>
      <c r="H87" s="26">
        <v>-4.381918221604467</v>
      </c>
      <c r="I87" s="26">
        <v>-9.4037609815385572</v>
      </c>
      <c r="J87" s="42"/>
      <c r="K87" s="22">
        <f t="shared" si="8"/>
        <v>67.804000000003725</v>
      </c>
      <c r="M87" s="22"/>
      <c r="P87" s="23">
        <v>81.117424369944189</v>
      </c>
      <c r="S87" s="6"/>
    </row>
    <row r="88" spans="1:19" s="45" customFormat="1" ht="13.2">
      <c r="A88" s="38"/>
      <c r="B88" s="81">
        <v>40.15</v>
      </c>
      <c r="C88" s="9">
        <f t="shared" si="10"/>
        <v>47109.692000000003</v>
      </c>
      <c r="D88" s="22"/>
      <c r="E88" s="64"/>
      <c r="F88" s="64"/>
      <c r="H88" s="26">
        <v>-4.3024921109546028</v>
      </c>
      <c r="I88" s="26">
        <v>-9.6148368090154825</v>
      </c>
      <c r="J88" s="42"/>
      <c r="K88" s="22">
        <f t="shared" si="8"/>
        <v>55.476000000002387</v>
      </c>
      <c r="M88" s="22"/>
      <c r="P88" s="23">
        <v>81.117424369944189</v>
      </c>
      <c r="S88" s="6"/>
    </row>
    <row r="89" spans="1:19" s="45" customFormat="1" ht="13.2">
      <c r="A89" s="38"/>
      <c r="B89" s="81">
        <v>40.450000000000003</v>
      </c>
      <c r="C89" s="9">
        <f t="shared" si="10"/>
        <v>47146.675999999999</v>
      </c>
      <c r="D89" s="22"/>
      <c r="E89" s="64"/>
      <c r="F89" s="64"/>
      <c r="H89" s="26">
        <v>-4.3788818752740264</v>
      </c>
      <c r="I89" s="26">
        <v>-9.405558900088419</v>
      </c>
      <c r="J89" s="42"/>
      <c r="K89" s="22">
        <f t="shared" si="8"/>
        <v>36.98399999999674</v>
      </c>
      <c r="M89" s="22"/>
      <c r="P89" s="23">
        <v>81.117424369944189</v>
      </c>
      <c r="S89" s="6"/>
    </row>
    <row r="90" spans="1:19" s="45" customFormat="1" ht="13.2">
      <c r="A90" s="38"/>
      <c r="B90" s="39">
        <v>41.15</v>
      </c>
      <c r="C90" s="9">
        <f t="shared" si="10"/>
        <v>47232.972000000002</v>
      </c>
      <c r="D90" s="22"/>
      <c r="E90" s="64"/>
      <c r="F90" s="64"/>
      <c r="H90" s="26">
        <v>-4.048203042369213</v>
      </c>
      <c r="I90" s="26">
        <v>-9.1558719165016793</v>
      </c>
      <c r="J90" s="42"/>
      <c r="K90" s="22">
        <f t="shared" si="8"/>
        <v>86.296000000002095</v>
      </c>
      <c r="M90" s="22"/>
      <c r="P90" s="23">
        <v>81.117424369944189</v>
      </c>
      <c r="S90" s="6"/>
    </row>
    <row r="91" spans="1:19" s="45" customFormat="1" ht="13.2">
      <c r="A91" s="38"/>
      <c r="B91" s="39">
        <v>41.55</v>
      </c>
      <c r="C91" s="9">
        <f t="shared" si="10"/>
        <v>47282.284</v>
      </c>
      <c r="D91" s="29"/>
      <c r="E91" s="30"/>
      <c r="F91" s="64"/>
      <c r="H91" s="26">
        <v>-3.8114479639297958</v>
      </c>
      <c r="I91" s="26">
        <v>-9.213803405804132</v>
      </c>
      <c r="J91" s="42"/>
      <c r="K91" s="22">
        <f t="shared" si="8"/>
        <v>49.311999999998079</v>
      </c>
      <c r="M91" s="29"/>
      <c r="P91" s="23">
        <v>81.117424369944189</v>
      </c>
      <c r="S91" s="6"/>
    </row>
    <row r="92" spans="1:19" s="67" customFormat="1" ht="13.2">
      <c r="A92" s="82" t="s">
        <v>27</v>
      </c>
      <c r="B92" s="65">
        <v>41.7</v>
      </c>
      <c r="C92" s="83">
        <v>47300.985830763406</v>
      </c>
      <c r="D92" s="83">
        <v>47300.985830763406</v>
      </c>
      <c r="E92" s="83">
        <v>676.67481604334387</v>
      </c>
      <c r="F92" s="83">
        <v>676.67481604334387</v>
      </c>
      <c r="G92" s="67" t="s">
        <v>13</v>
      </c>
      <c r="H92" s="32">
        <f>AVERAGE(H91,H93)</f>
        <v>-3.9301806915913775</v>
      </c>
      <c r="I92" s="32">
        <f>AVERAGE(I91,I93)</f>
        <v>-9.0818775307649666</v>
      </c>
      <c r="J92" s="55">
        <v>-2.2000000000000002</v>
      </c>
      <c r="K92" s="56">
        <f t="shared" si="8"/>
        <v>18.701830763406178</v>
      </c>
      <c r="M92" s="83">
        <v>47300.985830763406</v>
      </c>
      <c r="N92" s="67">
        <v>-4.7</v>
      </c>
      <c r="O92" s="67">
        <v>-4.7</v>
      </c>
      <c r="P92" s="23">
        <v>81.117424369944189</v>
      </c>
      <c r="S92" s="6"/>
    </row>
    <row r="93" spans="1:19" s="45" customFormat="1" ht="13.2">
      <c r="A93" s="39">
        <f>1/220.42</f>
        <v>4.5367933944288176E-3</v>
      </c>
      <c r="B93" s="39">
        <v>42.15</v>
      </c>
      <c r="C93" s="9">
        <f t="shared" ref="C93:C109" si="11" xml:space="preserve"> 220.75*B93 + 38096</f>
        <v>47400.612500000003</v>
      </c>
      <c r="D93" s="22"/>
      <c r="E93" s="64"/>
      <c r="F93" s="64"/>
      <c r="H93" s="26">
        <v>-4.0489134192529592</v>
      </c>
      <c r="I93" s="26">
        <v>-8.9499516557257994</v>
      </c>
      <c r="J93" s="42"/>
      <c r="K93" s="22">
        <f t="shared" si="8"/>
        <v>99.626669236597081</v>
      </c>
      <c r="M93" s="22"/>
      <c r="P93" s="23">
        <v>45.292041161490928</v>
      </c>
      <c r="S93" s="6"/>
    </row>
    <row r="94" spans="1:19" s="45" customFormat="1" ht="13.2">
      <c r="A94" s="39">
        <f>1000/221</f>
        <v>4.5248868778280542</v>
      </c>
      <c r="B94" s="39">
        <v>42.15</v>
      </c>
      <c r="C94" s="9">
        <f t="shared" si="11"/>
        <v>47400.612500000003</v>
      </c>
      <c r="D94" s="22"/>
      <c r="E94" s="64"/>
      <c r="F94" s="64"/>
      <c r="H94" s="26">
        <v>-4.0862885126793955</v>
      </c>
      <c r="I94" s="26">
        <v>-9.1201719837475075</v>
      </c>
      <c r="J94" s="42"/>
      <c r="K94" s="22"/>
      <c r="M94" s="22"/>
      <c r="P94" s="14">
        <f>10000*(B109-B92)/(C109-C92)</f>
        <v>45.292041161490928</v>
      </c>
      <c r="S94" s="6"/>
    </row>
    <row r="95" spans="1:19" s="45" customFormat="1" ht="13.2">
      <c r="A95" s="38"/>
      <c r="B95" s="39">
        <v>42.55</v>
      </c>
      <c r="C95" s="9">
        <f t="shared" si="11"/>
        <v>47488.912499999999</v>
      </c>
      <c r="D95" s="22"/>
      <c r="E95" s="64"/>
      <c r="F95" s="64"/>
      <c r="H95" s="26">
        <v>-3.8906787194874326</v>
      </c>
      <c r="I95" s="26">
        <v>-8.778340318388258</v>
      </c>
      <c r="J95" s="42"/>
      <c r="K95" s="22">
        <f>C95-C94</f>
        <v>88.299999999995634</v>
      </c>
      <c r="M95" s="22"/>
      <c r="P95" s="23">
        <v>45.292041161490928</v>
      </c>
      <c r="S95" s="6"/>
    </row>
    <row r="96" spans="1:19" s="45" customFormat="1" ht="13.2">
      <c r="A96" s="38"/>
      <c r="B96" s="39">
        <v>42.55</v>
      </c>
      <c r="C96" s="9">
        <f t="shared" si="11"/>
        <v>47488.912499999999</v>
      </c>
      <c r="D96" s="22"/>
      <c r="E96" s="64"/>
      <c r="F96" s="64"/>
      <c r="H96" s="26">
        <v>-3.7994454220058085</v>
      </c>
      <c r="I96" s="26">
        <v>-9.0591270306105738</v>
      </c>
      <c r="J96" s="42"/>
      <c r="K96" s="22"/>
      <c r="M96" s="22"/>
      <c r="P96" s="23">
        <v>45.292041161490928</v>
      </c>
      <c r="S96" s="6"/>
    </row>
    <row r="97" spans="1:19" s="45" customFormat="1" ht="13.2">
      <c r="A97" s="38"/>
      <c r="B97" s="39">
        <v>42.7</v>
      </c>
      <c r="C97" s="9">
        <f t="shared" si="11"/>
        <v>47522.025000000001</v>
      </c>
      <c r="D97" s="22"/>
      <c r="E97" s="64"/>
      <c r="F97" s="64"/>
      <c r="H97" s="26">
        <v>-3.951311166508046</v>
      </c>
      <c r="I97" s="26">
        <v>-8.9556753150380271</v>
      </c>
      <c r="J97" s="42"/>
      <c r="K97" s="22">
        <f>C97-C96</f>
        <v>33.11250000000291</v>
      </c>
      <c r="M97" s="22"/>
      <c r="P97" s="23">
        <v>45.292041161490928</v>
      </c>
      <c r="S97" s="6"/>
    </row>
    <row r="98" spans="1:19" s="45" customFormat="1" ht="13.2">
      <c r="A98" s="38"/>
      <c r="B98" s="39">
        <v>42.7</v>
      </c>
      <c r="C98" s="9">
        <f t="shared" si="11"/>
        <v>47522.025000000001</v>
      </c>
      <c r="D98" s="22"/>
      <c r="E98" s="64"/>
      <c r="F98" s="64"/>
      <c r="H98" s="26">
        <v>-3.9288462591029294</v>
      </c>
      <c r="I98" s="26">
        <v>-9.0668046140598069</v>
      </c>
      <c r="J98" s="42"/>
      <c r="K98" s="22"/>
      <c r="M98" s="22"/>
      <c r="P98" s="23">
        <v>45.292041161490928</v>
      </c>
      <c r="S98" s="6"/>
    </row>
    <row r="99" spans="1:19" s="45" customFormat="1" ht="13.2">
      <c r="A99" s="38"/>
      <c r="B99" s="39">
        <v>43.15</v>
      </c>
      <c r="C99" s="9">
        <f t="shared" si="11"/>
        <v>47621.362500000003</v>
      </c>
      <c r="D99" s="22"/>
      <c r="E99" s="64"/>
      <c r="F99" s="64"/>
      <c r="H99" s="26">
        <v>-4.2796541067777385</v>
      </c>
      <c r="I99" s="26">
        <v>-7.9271351376763732</v>
      </c>
      <c r="J99" s="42"/>
      <c r="K99" s="22">
        <f>C99-C98</f>
        <v>99.337500000001455</v>
      </c>
      <c r="M99" s="22"/>
      <c r="P99" s="23">
        <v>45.292041161490928</v>
      </c>
      <c r="S99" s="6"/>
    </row>
    <row r="100" spans="1:19" s="45" customFormat="1" ht="13.2">
      <c r="A100" s="38"/>
      <c r="B100" s="39">
        <v>43.15</v>
      </c>
      <c r="C100" s="9">
        <f t="shared" si="11"/>
        <v>47621.362500000003</v>
      </c>
      <c r="D100" s="22"/>
      <c r="E100" s="64"/>
      <c r="F100" s="64"/>
      <c r="H100" s="26">
        <v>-4.4787262576570637</v>
      </c>
      <c r="I100" s="26">
        <v>-8.3785377758553476</v>
      </c>
      <c r="J100" s="42"/>
      <c r="K100" s="22"/>
      <c r="M100" s="22"/>
      <c r="P100" s="23">
        <v>45.292041161490928</v>
      </c>
      <c r="S100" s="6"/>
    </row>
    <row r="101" spans="1:19" s="45" customFormat="1" ht="13.2">
      <c r="A101" s="38"/>
      <c r="B101" s="39">
        <v>43.65</v>
      </c>
      <c r="C101" s="9">
        <f t="shared" si="11"/>
        <v>47731.737500000003</v>
      </c>
      <c r="D101" s="22"/>
      <c r="E101" s="64"/>
      <c r="F101" s="64"/>
      <c r="H101" s="26">
        <v>-4.0864141755368184</v>
      </c>
      <c r="I101" s="26">
        <v>-8.2158086768854375</v>
      </c>
      <c r="J101" s="42"/>
      <c r="K101" s="22">
        <f>C101-C100</f>
        <v>110.375</v>
      </c>
      <c r="M101" s="22"/>
      <c r="P101" s="23">
        <v>45.292041161490928</v>
      </c>
      <c r="S101" s="6"/>
    </row>
    <row r="102" spans="1:19" s="45" customFormat="1" ht="13.2">
      <c r="A102" s="38"/>
      <c r="B102" s="39">
        <v>43.65</v>
      </c>
      <c r="C102" s="9">
        <f t="shared" si="11"/>
        <v>47731.737500000003</v>
      </c>
      <c r="D102" s="22"/>
      <c r="E102" s="64"/>
      <c r="F102" s="64"/>
      <c r="H102" s="26">
        <v>-4.0234629052205175</v>
      </c>
      <c r="I102" s="26">
        <v>-8.1627841319896692</v>
      </c>
      <c r="J102" s="42"/>
      <c r="K102" s="22"/>
      <c r="M102" s="22"/>
      <c r="P102" s="23">
        <v>45.292041161490928</v>
      </c>
      <c r="S102" s="6"/>
    </row>
    <row r="103" spans="1:19" s="45" customFormat="1" ht="13.2">
      <c r="A103" s="13"/>
      <c r="B103" s="39">
        <v>44.1</v>
      </c>
      <c r="C103" s="9">
        <f t="shared" si="11"/>
        <v>47831.074999999997</v>
      </c>
      <c r="D103" s="22"/>
      <c r="E103" s="64"/>
      <c r="F103" s="64"/>
      <c r="H103" s="26">
        <v>-4.123012160071176</v>
      </c>
      <c r="I103" s="26">
        <v>-7.7406061083242115</v>
      </c>
      <c r="J103" s="42"/>
      <c r="K103" s="22">
        <f t="shared" ref="K103:K122" si="12">C103-C102</f>
        <v>99.337499999994179</v>
      </c>
      <c r="M103" s="22"/>
      <c r="P103" s="23">
        <v>45.292041161490928</v>
      </c>
      <c r="S103" s="6"/>
    </row>
    <row r="104" spans="1:19" s="45" customFormat="1">
      <c r="A104" s="13"/>
      <c r="B104" s="39">
        <v>44.6</v>
      </c>
      <c r="C104" s="9">
        <f t="shared" si="11"/>
        <v>47941.45</v>
      </c>
      <c r="D104" s="22"/>
      <c r="E104" s="64"/>
      <c r="F104" s="64"/>
      <c r="H104" s="26">
        <v>-4.2567341579353535</v>
      </c>
      <c r="I104" s="26">
        <v>-8.1557094546894131</v>
      </c>
      <c r="J104" s="21"/>
      <c r="K104" s="22">
        <f t="shared" si="12"/>
        <v>110.375</v>
      </c>
      <c r="L104" s="6"/>
      <c r="M104" s="22"/>
      <c r="P104" s="23">
        <v>45.292041161490928</v>
      </c>
      <c r="S104" s="6"/>
    </row>
    <row r="105" spans="1:19" s="13" customFormat="1">
      <c r="A105" s="84" t="s">
        <v>28</v>
      </c>
      <c r="B105" s="51">
        <v>46</v>
      </c>
      <c r="C105" s="9">
        <f t="shared" si="11"/>
        <v>48250.5</v>
      </c>
      <c r="D105" s="48">
        <v>50766.182037944098</v>
      </c>
      <c r="E105" s="48">
        <v>1965.2684089658319</v>
      </c>
      <c r="F105" s="48">
        <v>1965.2684089658319</v>
      </c>
      <c r="G105" s="13" t="s">
        <v>13</v>
      </c>
      <c r="H105" s="51">
        <f>AVERAGE(H104,H107)</f>
        <v>-4.3728119855942866</v>
      </c>
      <c r="I105" s="51">
        <f>AVERAGE(I104,I107)</f>
        <v>-8.0596493038623969</v>
      </c>
      <c r="J105" s="12">
        <v>-1.5</v>
      </c>
      <c r="K105" s="22">
        <f t="shared" si="12"/>
        <v>309.05000000000291</v>
      </c>
      <c r="M105" s="48"/>
      <c r="O105" s="13">
        <v>-4</v>
      </c>
      <c r="P105" s="23">
        <v>45.292041161490928</v>
      </c>
      <c r="S105" s="6"/>
    </row>
    <row r="106" spans="1:19" s="13" customFormat="1">
      <c r="A106" s="38" t="s">
        <v>29</v>
      </c>
      <c r="B106" s="51">
        <v>47</v>
      </c>
      <c r="C106" s="9">
        <f t="shared" si="11"/>
        <v>48471.25</v>
      </c>
      <c r="D106" s="22"/>
      <c r="E106" s="22"/>
      <c r="F106" s="22"/>
      <c r="G106" s="13" t="s">
        <v>13</v>
      </c>
      <c r="H106" s="51">
        <f>AVERAGE(H107,H105)</f>
        <v>-4.4308508994237528</v>
      </c>
      <c r="I106" s="51">
        <f>AVERAGE(I107,I105)</f>
        <v>-8.0116192284488879</v>
      </c>
      <c r="J106" s="12"/>
      <c r="K106" s="22">
        <f t="shared" si="12"/>
        <v>220.75</v>
      </c>
      <c r="M106" s="22"/>
      <c r="P106" s="23">
        <v>45.292041161490928</v>
      </c>
      <c r="S106" s="6"/>
    </row>
    <row r="107" spans="1:19" s="45" customFormat="1" ht="13.2">
      <c r="A107" s="85">
        <v>109181</v>
      </c>
      <c r="B107" s="39">
        <v>47.95</v>
      </c>
      <c r="C107" s="9">
        <f t="shared" si="11"/>
        <v>48680.962500000001</v>
      </c>
      <c r="D107" s="22"/>
      <c r="E107" s="64"/>
      <c r="F107" s="64"/>
      <c r="H107" s="26">
        <v>-4.4888898132532198</v>
      </c>
      <c r="I107" s="26">
        <v>-7.9635891530353797</v>
      </c>
      <c r="J107" s="86"/>
      <c r="K107" s="22">
        <f t="shared" si="12"/>
        <v>209.71250000000146</v>
      </c>
      <c r="M107" s="22"/>
      <c r="P107" s="23">
        <v>45.292041161490928</v>
      </c>
      <c r="S107" s="6"/>
    </row>
    <row r="108" spans="1:19" s="45" customFormat="1" ht="15.6">
      <c r="A108" s="87"/>
      <c r="B108" s="39">
        <v>48.35</v>
      </c>
      <c r="C108" s="9">
        <f t="shared" si="11"/>
        <v>48769.262499999997</v>
      </c>
      <c r="D108" s="22"/>
      <c r="E108" s="64"/>
      <c r="F108" s="64"/>
      <c r="H108" s="26">
        <v>-4.2861857414031999</v>
      </c>
      <c r="I108" s="26">
        <v>-7.9394710765099195</v>
      </c>
      <c r="J108" s="86"/>
      <c r="K108" s="22">
        <f t="shared" si="12"/>
        <v>88.299999999995634</v>
      </c>
      <c r="M108" s="22"/>
      <c r="P108" s="23">
        <v>45.292041161490928</v>
      </c>
      <c r="S108" s="6"/>
    </row>
    <row r="109" spans="1:19" s="45" customFormat="1" ht="13.2">
      <c r="A109" s="38"/>
      <c r="B109" s="39">
        <v>49.05</v>
      </c>
      <c r="C109" s="9">
        <f t="shared" si="11"/>
        <v>48923.787499999999</v>
      </c>
      <c r="D109" s="69"/>
      <c r="E109" s="30"/>
      <c r="F109" s="64"/>
      <c r="H109" s="26">
        <v>-3.9984342541542546</v>
      </c>
      <c r="I109" s="26">
        <v>-8.6072542143862929</v>
      </c>
      <c r="J109" s="42"/>
      <c r="K109" s="22">
        <f t="shared" si="12"/>
        <v>154.52500000000146</v>
      </c>
      <c r="M109" s="69"/>
      <c r="P109" s="23">
        <v>45.292041161490928</v>
      </c>
      <c r="S109" s="6"/>
    </row>
    <row r="110" spans="1:19" s="80" customFormat="1" ht="13.2">
      <c r="A110" s="77" t="s">
        <v>30</v>
      </c>
      <c r="B110" s="78">
        <v>49.15</v>
      </c>
      <c r="C110" s="88">
        <v>48945.605792649418</v>
      </c>
      <c r="D110" s="88">
        <v>48945.605792649418</v>
      </c>
      <c r="E110" s="88">
        <v>543.16935006937774</v>
      </c>
      <c r="F110" s="88">
        <v>543.16935006937774</v>
      </c>
      <c r="G110" s="67" t="s">
        <v>13</v>
      </c>
      <c r="H110" s="32">
        <f>AVERAGE(H111,H109)</f>
        <v>-4.1705132839025367</v>
      </c>
      <c r="I110" s="32">
        <f>AVERAGE(I111,I109)</f>
        <v>-8.1136500120136876</v>
      </c>
      <c r="J110" s="55">
        <v>-2.2999999999999998</v>
      </c>
      <c r="K110" s="56">
        <f t="shared" si="12"/>
        <v>21.818292649419163</v>
      </c>
      <c r="M110" s="88">
        <v>48945.605792649418</v>
      </c>
      <c r="N110" s="80">
        <v>-4.5</v>
      </c>
      <c r="O110" s="80">
        <v>-4.5</v>
      </c>
      <c r="P110" s="89">
        <v>47.187831614074035</v>
      </c>
      <c r="S110" s="6"/>
    </row>
    <row r="111" spans="1:19" s="45" customFormat="1" ht="13.2">
      <c r="A111" s="39">
        <f>1/209</f>
        <v>4.7846889952153108E-3</v>
      </c>
      <c r="B111" s="39">
        <v>49.55</v>
      </c>
      <c r="C111" s="9">
        <f t="shared" ref="C111:C120" si="13" xml:space="preserve"> 211.92*B111 + 38530</f>
        <v>49030.635999999999</v>
      </c>
      <c r="D111" s="64"/>
      <c r="E111" s="64"/>
      <c r="F111" s="64"/>
      <c r="H111" s="26">
        <v>-4.3425923136508189</v>
      </c>
      <c r="I111" s="26">
        <v>-7.6200458096410824</v>
      </c>
      <c r="J111" s="42"/>
      <c r="K111" s="22">
        <f t="shared" si="12"/>
        <v>85.030207350580895</v>
      </c>
      <c r="M111" s="64"/>
      <c r="P111" s="89">
        <v>47.187831614074035</v>
      </c>
      <c r="S111" s="6"/>
    </row>
    <row r="112" spans="1:19" s="45" customFormat="1" ht="13.2">
      <c r="A112" s="39">
        <f>1000/212</f>
        <v>4.716981132075472</v>
      </c>
      <c r="B112" s="39">
        <v>50.15</v>
      </c>
      <c r="C112" s="9">
        <f t="shared" si="13"/>
        <v>49157.788</v>
      </c>
      <c r="D112" s="64"/>
      <c r="E112" s="64"/>
      <c r="F112" s="64"/>
      <c r="H112" s="26">
        <v>-4.5276827392374264</v>
      </c>
      <c r="I112" s="26">
        <v>-7.9412652473489764</v>
      </c>
      <c r="J112" s="42"/>
      <c r="K112" s="22">
        <f t="shared" si="12"/>
        <v>127.15200000000186</v>
      </c>
      <c r="M112" s="64"/>
      <c r="P112" s="89">
        <v>47.187831614074035</v>
      </c>
      <c r="S112" s="6"/>
    </row>
    <row r="113" spans="1:19" s="45" customFormat="1" ht="13.2">
      <c r="A113" s="38"/>
      <c r="B113" s="39">
        <v>50.85</v>
      </c>
      <c r="C113" s="9">
        <f t="shared" si="13"/>
        <v>49306.131999999998</v>
      </c>
      <c r="D113" s="64"/>
      <c r="E113" s="64"/>
      <c r="F113" s="64"/>
      <c r="H113" s="26">
        <v>-4.2647371034563575</v>
      </c>
      <c r="I113" s="26">
        <v>-8.5361939240414024</v>
      </c>
      <c r="J113" s="42"/>
      <c r="K113" s="22">
        <f t="shared" si="12"/>
        <v>148.34399999999732</v>
      </c>
      <c r="M113" s="64"/>
      <c r="P113" s="14">
        <f>10000*(B121-B110)/(C121-C110)</f>
        <v>47.187831614074035</v>
      </c>
      <c r="S113" s="6"/>
    </row>
    <row r="114" spans="1:19" s="45" customFormat="1" ht="13.2">
      <c r="A114" s="38"/>
      <c r="B114" s="39">
        <v>51.3</v>
      </c>
      <c r="C114" s="9">
        <f t="shared" si="13"/>
        <v>49401.495999999999</v>
      </c>
      <c r="D114" s="64"/>
      <c r="E114" s="64"/>
      <c r="F114" s="64"/>
      <c r="H114" s="26">
        <v>-4.0002213358927339</v>
      </c>
      <c r="I114" s="26">
        <v>-9.3478737831609244</v>
      </c>
      <c r="J114" s="42"/>
      <c r="K114" s="22">
        <f t="shared" si="12"/>
        <v>95.364000000001397</v>
      </c>
      <c r="M114" s="64"/>
      <c r="P114" s="89">
        <v>47.187831614074035</v>
      </c>
      <c r="S114" s="6"/>
    </row>
    <row r="115" spans="1:19" s="45" customFormat="1" ht="13.2">
      <c r="A115" s="38"/>
      <c r="B115" s="39">
        <v>51.9</v>
      </c>
      <c r="C115" s="9">
        <f t="shared" si="13"/>
        <v>49528.648000000001</v>
      </c>
      <c r="D115" s="64"/>
      <c r="E115" s="64"/>
      <c r="F115" s="64"/>
      <c r="H115" s="26">
        <v>-4.250407417688371</v>
      </c>
      <c r="I115" s="26">
        <v>-8.5864613870819664</v>
      </c>
      <c r="J115" s="42"/>
      <c r="K115" s="22">
        <f t="shared" si="12"/>
        <v>127.15200000000186</v>
      </c>
      <c r="M115" s="64"/>
      <c r="P115" s="89">
        <v>47.187831614074035</v>
      </c>
      <c r="S115" s="6"/>
    </row>
    <row r="116" spans="1:19" s="45" customFormat="1" ht="13.2">
      <c r="A116" s="38"/>
      <c r="B116" s="39">
        <v>52.45</v>
      </c>
      <c r="C116" s="9">
        <f t="shared" si="13"/>
        <v>49645.203999999998</v>
      </c>
      <c r="D116" s="64"/>
      <c r="E116" s="64"/>
      <c r="F116" s="64"/>
      <c r="H116" s="26">
        <v>-4.0056057470894899</v>
      </c>
      <c r="I116" s="26">
        <v>-8.2121314158476295</v>
      </c>
      <c r="J116" s="42"/>
      <c r="K116" s="22">
        <f t="shared" si="12"/>
        <v>116.55599999999686</v>
      </c>
      <c r="M116" s="64"/>
      <c r="P116" s="89">
        <v>47.187831614074</v>
      </c>
      <c r="S116" s="6"/>
    </row>
    <row r="117" spans="1:19" s="45" customFormat="1" ht="13.2">
      <c r="A117" s="38"/>
      <c r="B117" s="39">
        <v>52.75</v>
      </c>
      <c r="C117" s="9">
        <f t="shared" si="13"/>
        <v>49708.78</v>
      </c>
      <c r="D117" s="64"/>
      <c r="E117" s="64"/>
      <c r="F117" s="64"/>
      <c r="H117" s="26">
        <v>-3.4785958264558126</v>
      </c>
      <c r="I117" s="26">
        <v>-8.653824944309191</v>
      </c>
      <c r="J117" s="42"/>
      <c r="K117" s="22">
        <f t="shared" si="12"/>
        <v>63.576000000000931</v>
      </c>
      <c r="M117" s="64"/>
      <c r="P117" s="89">
        <v>47.187831614074</v>
      </c>
      <c r="S117" s="6"/>
    </row>
    <row r="118" spans="1:19" s="45" customFormat="1" ht="13.2">
      <c r="A118" s="38"/>
      <c r="B118" s="39">
        <v>53.2</v>
      </c>
      <c r="C118" s="9">
        <f t="shared" si="13"/>
        <v>49804.144</v>
      </c>
      <c r="D118" s="64"/>
      <c r="E118" s="64"/>
      <c r="F118" s="64"/>
      <c r="H118" s="26">
        <v>-4.0605367744423484</v>
      </c>
      <c r="I118" s="26">
        <v>-7.3528160893575318</v>
      </c>
      <c r="J118" s="42"/>
      <c r="K118" s="22">
        <f t="shared" si="12"/>
        <v>95.364000000001397</v>
      </c>
      <c r="M118" s="64"/>
      <c r="P118" s="89">
        <v>47.187831614074</v>
      </c>
      <c r="S118" s="6"/>
    </row>
    <row r="119" spans="1:19" s="45" customFormat="1" ht="13.2">
      <c r="A119" s="38"/>
      <c r="B119" s="39">
        <v>53.6</v>
      </c>
      <c r="C119" s="9">
        <f t="shared" si="13"/>
        <v>49888.911999999997</v>
      </c>
      <c r="D119" s="64"/>
      <c r="E119" s="64"/>
      <c r="F119" s="64"/>
      <c r="H119" s="26">
        <v>-4.0220986390802569</v>
      </c>
      <c r="I119" s="26">
        <v>-7.9402813728738231</v>
      </c>
      <c r="J119" s="42"/>
      <c r="K119" s="22">
        <f t="shared" si="12"/>
        <v>84.767999999996391</v>
      </c>
      <c r="M119" s="64"/>
      <c r="P119" s="89">
        <v>47.187831614074</v>
      </c>
      <c r="S119" s="6"/>
    </row>
    <row r="120" spans="1:19" s="45" customFormat="1" ht="13.2">
      <c r="A120" s="38"/>
      <c r="B120" s="39">
        <v>54.05</v>
      </c>
      <c r="C120" s="9">
        <f t="shared" si="13"/>
        <v>49984.275999999998</v>
      </c>
      <c r="D120" s="90"/>
      <c r="E120" s="91"/>
      <c r="F120" s="64"/>
      <c r="H120" s="26">
        <v>-3.7848741042713803</v>
      </c>
      <c r="I120" s="26">
        <v>-9.4697901637928954</v>
      </c>
      <c r="J120" s="42"/>
      <c r="K120" s="22">
        <f t="shared" si="12"/>
        <v>95.364000000001397</v>
      </c>
      <c r="M120" s="90"/>
      <c r="P120" s="89">
        <v>47.187831614074</v>
      </c>
      <c r="S120" s="6"/>
    </row>
    <row r="121" spans="1:19" s="67" customFormat="1" ht="13.2">
      <c r="A121" s="82" t="s">
        <v>31</v>
      </c>
      <c r="B121" s="65">
        <v>54.25</v>
      </c>
      <c r="C121" s="88">
        <v>50026.392899315048</v>
      </c>
      <c r="D121" s="88">
        <v>50026.392899315048</v>
      </c>
      <c r="E121" s="88">
        <v>907.73220235593976</v>
      </c>
      <c r="F121" s="88">
        <v>907.73220235593976</v>
      </c>
      <c r="G121" s="67" t="s">
        <v>13</v>
      </c>
      <c r="H121" s="32">
        <f>AVERAGE(H122,H120)</f>
        <v>-3.8696453764760821</v>
      </c>
      <c r="I121" s="32">
        <f>AVERAGE(I122,I120)</f>
        <v>-9.2935060615885519</v>
      </c>
      <c r="J121" s="55">
        <v>-2.2000000000000002</v>
      </c>
      <c r="K121" s="56">
        <f t="shared" si="12"/>
        <v>42.116899315049523</v>
      </c>
      <c r="M121" s="88">
        <v>50026.392899315048</v>
      </c>
      <c r="N121" s="67">
        <v>-4.7</v>
      </c>
      <c r="O121" s="67">
        <v>-4.7</v>
      </c>
      <c r="P121" s="23">
        <v>71.416384499900857</v>
      </c>
      <c r="S121" s="6"/>
    </row>
    <row r="122" spans="1:19" s="45" customFormat="1" ht="13.2">
      <c r="A122" s="39">
        <f>1/169</f>
        <v>5.9171597633136093E-3</v>
      </c>
      <c r="B122" s="39">
        <v>54.5</v>
      </c>
      <c r="C122" s="9">
        <f t="shared" ref="C122:C129" si="14">140.02*B122 + 42430</f>
        <v>50061.09</v>
      </c>
      <c r="D122" s="64"/>
      <c r="E122" s="64"/>
      <c r="F122" s="64"/>
      <c r="H122" s="26">
        <v>-3.9544166486807839</v>
      </c>
      <c r="I122" s="26">
        <v>-9.1172219593842083</v>
      </c>
      <c r="J122" s="42"/>
      <c r="K122" s="22">
        <f t="shared" si="12"/>
        <v>34.697100684948964</v>
      </c>
      <c r="L122" s="92"/>
      <c r="M122" s="64"/>
      <c r="P122" s="23">
        <v>71.416384499900857</v>
      </c>
      <c r="S122" s="6"/>
    </row>
    <row r="123" spans="1:19" s="45" customFormat="1" ht="13.2">
      <c r="A123" s="39">
        <f>1000/140</f>
        <v>7.1428571428571432</v>
      </c>
      <c r="B123" s="39">
        <v>54.9</v>
      </c>
      <c r="C123" s="9">
        <f t="shared" si="14"/>
        <v>50117.097999999998</v>
      </c>
      <c r="D123" s="64"/>
      <c r="E123" s="64"/>
      <c r="F123" s="64"/>
      <c r="H123" s="26">
        <v>-3.6928389883678001</v>
      </c>
      <c r="I123" s="26">
        <v>-9.3475108260270385</v>
      </c>
      <c r="J123" s="42"/>
      <c r="K123" s="22"/>
      <c r="M123" s="64"/>
      <c r="P123" s="23">
        <v>71.416384499900857</v>
      </c>
      <c r="S123" s="6"/>
    </row>
    <row r="124" spans="1:19" s="95" customFormat="1">
      <c r="A124" s="71"/>
      <c r="B124" s="93">
        <v>55.5</v>
      </c>
      <c r="C124" s="9">
        <f t="shared" si="14"/>
        <v>50201.11</v>
      </c>
      <c r="D124" s="64"/>
      <c r="E124" s="94"/>
      <c r="F124" s="94"/>
      <c r="H124" s="26">
        <v>-4.2013447797948151</v>
      </c>
      <c r="I124" s="26">
        <v>-8.957915965452413</v>
      </c>
      <c r="K124" s="22">
        <f t="shared" ref="K124:K134" si="15">C124-C123</f>
        <v>84.012000000002445</v>
      </c>
      <c r="M124" s="64"/>
      <c r="P124" s="23">
        <v>71.4163844999009</v>
      </c>
      <c r="S124" s="6"/>
    </row>
    <row r="125" spans="1:19" s="45" customFormat="1" ht="13.2">
      <c r="A125" s="38"/>
      <c r="B125" s="39">
        <v>55.9</v>
      </c>
      <c r="C125" s="9">
        <f t="shared" si="14"/>
        <v>50257.118000000002</v>
      </c>
      <c r="D125" s="64"/>
      <c r="E125" s="64"/>
      <c r="F125" s="64"/>
      <c r="H125" s="26">
        <v>-4.5041633656579938</v>
      </c>
      <c r="I125" s="26">
        <v>-9.3306076643457665</v>
      </c>
      <c r="J125" s="42"/>
      <c r="K125" s="22">
        <f t="shared" si="15"/>
        <v>56.00800000000163</v>
      </c>
      <c r="M125" s="64"/>
      <c r="P125" s="23">
        <v>71.4163844999009</v>
      </c>
      <c r="S125" s="6"/>
    </row>
    <row r="126" spans="1:19" s="45" customFormat="1" ht="13.2">
      <c r="A126" s="38"/>
      <c r="B126" s="39">
        <v>56.15</v>
      </c>
      <c r="C126" s="9">
        <f t="shared" si="14"/>
        <v>50292.123</v>
      </c>
      <c r="D126" s="64"/>
      <c r="E126" s="64"/>
      <c r="F126" s="64"/>
      <c r="H126" s="26">
        <v>-4.2956044957415376</v>
      </c>
      <c r="I126" s="26">
        <v>-8.9198347016646622</v>
      </c>
      <c r="J126" s="42"/>
      <c r="K126" s="22">
        <f t="shared" si="15"/>
        <v>35.004999999997381</v>
      </c>
      <c r="M126" s="64"/>
      <c r="P126" s="14">
        <f>10000*(B130-B121)/(C130-C121)</f>
        <v>71.416384499900857</v>
      </c>
      <c r="S126" s="6"/>
    </row>
    <row r="127" spans="1:19" s="45" customFormat="1" ht="13.2">
      <c r="A127" s="38"/>
      <c r="B127" s="39">
        <v>56.6</v>
      </c>
      <c r="C127" s="9">
        <f t="shared" si="14"/>
        <v>50355.131999999998</v>
      </c>
      <c r="D127" s="64"/>
      <c r="E127" s="64"/>
      <c r="F127" s="64"/>
      <c r="H127" s="26">
        <v>-4.0992775633696796</v>
      </c>
      <c r="I127" s="26">
        <v>-9.0832477224748978</v>
      </c>
      <c r="J127" s="42"/>
      <c r="K127" s="22">
        <f t="shared" si="15"/>
        <v>63.008999999998196</v>
      </c>
      <c r="M127" s="64"/>
      <c r="P127" s="23">
        <v>71.416384499900857</v>
      </c>
      <c r="S127" s="6"/>
    </row>
    <row r="128" spans="1:19" s="45" customFormat="1" ht="13.2">
      <c r="A128" s="38"/>
      <c r="B128" s="39">
        <v>57</v>
      </c>
      <c r="C128" s="9">
        <f t="shared" si="14"/>
        <v>50411.14</v>
      </c>
      <c r="D128" s="64"/>
      <c r="E128" s="64"/>
      <c r="F128" s="64"/>
      <c r="H128" s="26">
        <v>-3.6363233862163558</v>
      </c>
      <c r="I128" s="26">
        <v>-9.1523491410892497</v>
      </c>
      <c r="J128" s="42"/>
      <c r="K128" s="22">
        <f t="shared" si="15"/>
        <v>56.00800000000163</v>
      </c>
      <c r="M128" s="64"/>
      <c r="P128" s="23">
        <v>71.416384499900857</v>
      </c>
      <c r="S128" s="6"/>
    </row>
    <row r="129" spans="1:19" s="45" customFormat="1" ht="13.2">
      <c r="A129" s="38"/>
      <c r="B129" s="39">
        <v>57.55</v>
      </c>
      <c r="C129" s="9">
        <f t="shared" si="14"/>
        <v>50488.150999999998</v>
      </c>
      <c r="D129" s="29"/>
      <c r="E129" s="30"/>
      <c r="F129" s="64"/>
      <c r="H129" s="26">
        <v>-3.9775854298292588</v>
      </c>
      <c r="I129" s="26">
        <v>-9.604195277527154</v>
      </c>
      <c r="J129" s="42"/>
      <c r="K129" s="22">
        <f t="shared" si="15"/>
        <v>77.010999999998603</v>
      </c>
      <c r="M129" s="29"/>
      <c r="P129" s="23">
        <v>71.416384499900857</v>
      </c>
      <c r="S129" s="6"/>
    </row>
    <row r="130" spans="1:19" s="67" customFormat="1" ht="13.2">
      <c r="A130" s="82" t="s">
        <v>32</v>
      </c>
      <c r="B130" s="65">
        <v>57.8</v>
      </c>
      <c r="C130" s="66">
        <v>50523.477710434956</v>
      </c>
      <c r="D130" s="66">
        <v>50523.477710434956</v>
      </c>
      <c r="E130" s="66">
        <v>1115.5857244690171</v>
      </c>
      <c r="F130" s="66">
        <v>1115.5857244690171</v>
      </c>
      <c r="G130" s="67" t="s">
        <v>13</v>
      </c>
      <c r="H130" s="32">
        <f>AVERAGE(H131,H129)</f>
        <v>-3.7793719355848463</v>
      </c>
      <c r="I130" s="32">
        <f>AVERAGE(I131,I129)</f>
        <v>-9.569980155008377</v>
      </c>
      <c r="J130" s="55">
        <v>-2.2999999999999998</v>
      </c>
      <c r="K130" s="56">
        <f t="shared" si="15"/>
        <v>35.326710434957931</v>
      </c>
      <c r="M130" s="66">
        <v>50523.477710434956</v>
      </c>
      <c r="N130" s="67">
        <v>-4.5</v>
      </c>
      <c r="O130" s="67">
        <v>-4.5</v>
      </c>
      <c r="P130" s="23">
        <v>51.684336864776483</v>
      </c>
      <c r="S130" s="6"/>
    </row>
    <row r="131" spans="1:19" s="45" customFormat="1" ht="13.2">
      <c r="A131" s="39">
        <f>1000/193</f>
        <v>5.1813471502590671</v>
      </c>
      <c r="B131" s="39">
        <v>57.85</v>
      </c>
      <c r="C131" s="9">
        <f t="shared" ref="C131:C139" si="16">193.48*B131 + 39340</f>
        <v>50532.817999999999</v>
      </c>
      <c r="D131" s="64"/>
      <c r="E131" s="64"/>
      <c r="F131" s="64"/>
      <c r="H131" s="26">
        <v>-3.5811584413404338</v>
      </c>
      <c r="I131" s="26">
        <v>-9.5357650324895982</v>
      </c>
      <c r="J131" s="42"/>
      <c r="K131" s="22">
        <f t="shared" si="15"/>
        <v>9.3402895650433493</v>
      </c>
      <c r="M131" s="64"/>
      <c r="P131" s="23">
        <v>51.684336864776483</v>
      </c>
      <c r="S131" s="6"/>
    </row>
    <row r="132" spans="1:19" s="45" customFormat="1" ht="13.2">
      <c r="A132" s="39"/>
      <c r="B132" s="39">
        <v>58.15</v>
      </c>
      <c r="C132" s="9">
        <f t="shared" si="16"/>
        <v>50590.862000000001</v>
      </c>
      <c r="D132" s="64"/>
      <c r="E132" s="64"/>
      <c r="F132" s="64"/>
      <c r="H132" s="26">
        <v>-3.9763404525676487</v>
      </c>
      <c r="I132" s="26">
        <v>-9.6001039150279901</v>
      </c>
      <c r="J132" s="42"/>
      <c r="K132" s="22">
        <f t="shared" si="15"/>
        <v>58.044000000001688</v>
      </c>
      <c r="M132" s="64"/>
      <c r="P132" s="14">
        <f>10000*(B140-B130)/(C140-C130)</f>
        <v>51.684336864776483</v>
      </c>
      <c r="S132" s="6"/>
    </row>
    <row r="133" spans="1:19" s="45" customFormat="1" ht="13.2">
      <c r="A133" s="38"/>
      <c r="B133" s="39">
        <v>58.5</v>
      </c>
      <c r="C133" s="9">
        <f t="shared" si="16"/>
        <v>50658.58</v>
      </c>
      <c r="D133" s="64"/>
      <c r="E133" s="64"/>
      <c r="F133" s="64"/>
      <c r="H133" s="26">
        <v>-4.0731088723376736</v>
      </c>
      <c r="I133" s="26">
        <v>-9.4219862086343031</v>
      </c>
      <c r="J133" s="42"/>
      <c r="K133" s="22">
        <f t="shared" si="15"/>
        <v>67.718000000000757</v>
      </c>
      <c r="M133" s="64"/>
      <c r="P133" s="23">
        <v>51.684336864776483</v>
      </c>
      <c r="S133" s="6"/>
    </row>
    <row r="134" spans="1:19" s="45" customFormat="1" ht="13.2">
      <c r="A134" s="38"/>
      <c r="B134" s="39">
        <v>59.4</v>
      </c>
      <c r="C134" s="9">
        <f t="shared" si="16"/>
        <v>50832.712</v>
      </c>
      <c r="D134" s="64"/>
      <c r="E134" s="64"/>
      <c r="F134" s="64"/>
      <c r="H134" s="26">
        <v>-4.5569490298596076</v>
      </c>
      <c r="I134" s="26">
        <v>-10.012577057373429</v>
      </c>
      <c r="J134" s="42"/>
      <c r="K134" s="22">
        <f t="shared" si="15"/>
        <v>174.13199999999779</v>
      </c>
      <c r="M134" s="64"/>
      <c r="P134" s="23">
        <v>51.684336864776483</v>
      </c>
      <c r="S134" s="6"/>
    </row>
    <row r="135" spans="1:19" s="45" customFormat="1" ht="13.2">
      <c r="A135" s="38"/>
      <c r="B135" s="39">
        <v>59.4</v>
      </c>
      <c r="C135" s="9">
        <f t="shared" si="16"/>
        <v>50832.712</v>
      </c>
      <c r="D135" s="64"/>
      <c r="E135" s="64"/>
      <c r="F135" s="64"/>
      <c r="H135" s="26">
        <v>-4.4322461466354781</v>
      </c>
      <c r="I135" s="26">
        <v>-9.086693339135774</v>
      </c>
      <c r="J135" s="42"/>
      <c r="K135" s="22"/>
      <c r="M135" s="64"/>
      <c r="P135" s="23">
        <v>51.684336864776483</v>
      </c>
      <c r="S135" s="6"/>
    </row>
    <row r="136" spans="1:19" s="45" customFormat="1" ht="13.2">
      <c r="A136" s="38"/>
      <c r="B136" s="39">
        <v>59.75</v>
      </c>
      <c r="C136" s="9">
        <f t="shared" si="16"/>
        <v>50900.43</v>
      </c>
      <c r="D136" s="64"/>
      <c r="E136" s="64"/>
      <c r="F136" s="64"/>
      <c r="H136" s="26">
        <v>-4.6694675742047336</v>
      </c>
      <c r="I136" s="26">
        <v>-9.3724086400788682</v>
      </c>
      <c r="J136" s="42"/>
      <c r="K136" s="22">
        <f t="shared" ref="K136:K149" si="17">C136-C135</f>
        <v>67.718000000000757</v>
      </c>
      <c r="M136" s="64"/>
      <c r="P136" s="23">
        <v>51.684336864776483</v>
      </c>
      <c r="S136" s="6"/>
    </row>
    <row r="137" spans="1:19" s="45" customFormat="1" ht="13.2">
      <c r="A137" s="38"/>
      <c r="B137" s="39">
        <v>60.15</v>
      </c>
      <c r="C137" s="9">
        <f t="shared" si="16"/>
        <v>50977.822</v>
      </c>
      <c r="D137" s="64"/>
      <c r="E137" s="64"/>
      <c r="F137" s="64"/>
      <c r="H137" s="26">
        <v>-4.2997922008953378</v>
      </c>
      <c r="I137" s="26">
        <v>-9.5691609989034614</v>
      </c>
      <c r="J137" s="42"/>
      <c r="K137" s="22">
        <f t="shared" si="17"/>
        <v>77.391999999999825</v>
      </c>
      <c r="M137" s="64"/>
      <c r="P137" s="23">
        <v>51.684336864776483</v>
      </c>
      <c r="S137" s="6"/>
    </row>
    <row r="138" spans="1:19" s="45" customFormat="1" ht="13.2">
      <c r="A138" s="38"/>
      <c r="B138" s="39">
        <v>60.9</v>
      </c>
      <c r="C138" s="9">
        <f t="shared" si="16"/>
        <v>51122.932000000001</v>
      </c>
      <c r="D138" s="64"/>
      <c r="E138" s="64"/>
      <c r="F138" s="64"/>
      <c r="H138" s="26">
        <v>-4.5871359939126508</v>
      </c>
      <c r="I138" s="26">
        <v>-9.5510496369303546</v>
      </c>
      <c r="J138" s="42"/>
      <c r="K138" s="22">
        <f t="shared" si="17"/>
        <v>145.11000000000058</v>
      </c>
      <c r="M138" s="64"/>
      <c r="P138" s="23">
        <v>51.684336864776483</v>
      </c>
      <c r="S138" s="6"/>
    </row>
    <row r="139" spans="1:19" s="45" customFormat="1" ht="13.2">
      <c r="A139" s="38"/>
      <c r="B139" s="39">
        <v>61.5</v>
      </c>
      <c r="C139" s="9">
        <f t="shared" si="16"/>
        <v>51239.02</v>
      </c>
      <c r="D139" s="29"/>
      <c r="E139" s="30"/>
      <c r="F139" s="64"/>
      <c r="H139" s="26">
        <v>-4.3521656551210519</v>
      </c>
      <c r="I139" s="26">
        <v>-9.506915271526271</v>
      </c>
      <c r="J139" s="42"/>
      <c r="K139" s="22">
        <f t="shared" si="17"/>
        <v>116.0879999999961</v>
      </c>
      <c r="M139" s="29"/>
      <c r="P139" s="23">
        <v>51.684336864776483</v>
      </c>
      <c r="S139" s="6"/>
    </row>
    <row r="140" spans="1:19" s="67" customFormat="1" ht="13.2">
      <c r="A140" s="82" t="s">
        <v>33</v>
      </c>
      <c r="B140" s="65">
        <v>61.9</v>
      </c>
      <c r="C140" s="88">
        <v>51316.754793727516</v>
      </c>
      <c r="D140" s="88">
        <v>51316.754793727516</v>
      </c>
      <c r="E140" s="88">
        <v>944.23861767886262</v>
      </c>
      <c r="F140" s="88">
        <v>944.23861767886262</v>
      </c>
      <c r="G140" s="67" t="s">
        <v>13</v>
      </c>
      <c r="H140" s="32">
        <f>AVERAGE(H141,H139)</f>
        <v>-4.2947514277161005</v>
      </c>
      <c r="I140" s="32">
        <f>AVERAGE(I141,I139)</f>
        <v>-9.4565402217310695</v>
      </c>
      <c r="J140" s="55">
        <v>-2.2000000000000002</v>
      </c>
      <c r="K140" s="56">
        <f t="shared" si="17"/>
        <v>77.734793727518991</v>
      </c>
      <c r="M140" s="88">
        <v>51316.754793727516</v>
      </c>
      <c r="N140" s="67">
        <v>-4.7</v>
      </c>
      <c r="O140" s="67">
        <v>-4.7</v>
      </c>
      <c r="P140" s="23">
        <v>51.704843210324839</v>
      </c>
      <c r="S140" s="6"/>
    </row>
    <row r="141" spans="1:19" s="45" customFormat="1" ht="13.2">
      <c r="A141" s="39">
        <f>1/153.21</f>
        <v>6.5269890999282024E-3</v>
      </c>
      <c r="B141" s="39">
        <v>62.4</v>
      </c>
      <c r="C141" s="9">
        <f t="shared" ref="C141:C150" si="18">193.48*B141 + 39340</f>
        <v>51413.152000000002</v>
      </c>
      <c r="D141" s="64"/>
      <c r="E141" s="64"/>
      <c r="F141" s="64"/>
      <c r="H141" s="26">
        <v>-4.2373372003111491</v>
      </c>
      <c r="I141" s="26">
        <v>-9.4061651719358679</v>
      </c>
      <c r="J141" s="42"/>
      <c r="K141" s="22">
        <f t="shared" si="17"/>
        <v>96.397206272486073</v>
      </c>
      <c r="M141" s="64"/>
      <c r="P141" s="23">
        <v>51.704843210324839</v>
      </c>
      <c r="S141" s="6"/>
    </row>
    <row r="142" spans="1:19" s="45" customFormat="1" ht="13.2">
      <c r="A142" s="38"/>
      <c r="B142" s="39">
        <v>62.95</v>
      </c>
      <c r="C142" s="9">
        <f t="shared" si="18"/>
        <v>51519.565999999999</v>
      </c>
      <c r="D142" s="64"/>
      <c r="E142" s="64"/>
      <c r="F142" s="64"/>
      <c r="H142" s="26">
        <v>-3.8197830370600339</v>
      </c>
      <c r="I142" s="26">
        <v>-9.1170300787192478</v>
      </c>
      <c r="J142" s="42"/>
      <c r="K142" s="22">
        <f t="shared" si="17"/>
        <v>106.41399999999703</v>
      </c>
      <c r="M142" s="64"/>
      <c r="P142" s="14">
        <f>10000*(B150-B140)/(C150-C140)</f>
        <v>51.704843210324839</v>
      </c>
      <c r="S142" s="6"/>
    </row>
    <row r="143" spans="1:19" s="45" customFormat="1" ht="13.2">
      <c r="A143" s="38"/>
      <c r="B143" s="39">
        <v>63.4</v>
      </c>
      <c r="C143" s="9">
        <f t="shared" si="18"/>
        <v>51606.631999999998</v>
      </c>
      <c r="D143" s="64"/>
      <c r="E143" s="64"/>
      <c r="F143" s="64"/>
      <c r="H143" s="26">
        <v>-3.6811371540537841</v>
      </c>
      <c r="I143" s="26">
        <v>-8.4571794595915115</v>
      </c>
      <c r="J143" s="42"/>
      <c r="K143" s="22">
        <f t="shared" si="17"/>
        <v>87.065999999998894</v>
      </c>
      <c r="M143" s="64"/>
      <c r="P143" s="23">
        <v>51.704843210324839</v>
      </c>
      <c r="S143" s="6"/>
    </row>
    <row r="144" spans="1:19" s="45" customFormat="1" ht="13.2">
      <c r="A144" s="38"/>
      <c r="B144" s="39">
        <v>63.8</v>
      </c>
      <c r="C144" s="9">
        <f t="shared" si="18"/>
        <v>51684.023999999998</v>
      </c>
      <c r="D144" s="64"/>
      <c r="E144" s="64"/>
      <c r="F144" s="64"/>
      <c r="H144" s="26">
        <v>-4.035725663987753</v>
      </c>
      <c r="I144" s="26">
        <v>-9.2664302384350474</v>
      </c>
      <c r="J144" s="42"/>
      <c r="K144" s="22">
        <f t="shared" si="17"/>
        <v>77.391999999999825</v>
      </c>
      <c r="M144" s="64"/>
      <c r="P144" s="23">
        <v>51.704843210324839</v>
      </c>
      <c r="S144" s="6"/>
    </row>
    <row r="145" spans="1:19" s="45" customFormat="1" ht="13.2">
      <c r="A145" s="38"/>
      <c r="B145" s="39">
        <v>64.349999999999994</v>
      </c>
      <c r="C145" s="9">
        <f t="shared" si="18"/>
        <v>51790.437999999995</v>
      </c>
      <c r="D145" s="64"/>
      <c r="E145" s="64"/>
      <c r="F145" s="64"/>
      <c r="H145" s="26">
        <v>-4.0677979971725833</v>
      </c>
      <c r="I145" s="26">
        <v>-8.9861905333586378</v>
      </c>
      <c r="J145" s="42"/>
      <c r="K145" s="22">
        <f t="shared" si="17"/>
        <v>106.41399999999703</v>
      </c>
      <c r="M145" s="64"/>
      <c r="P145" s="23">
        <v>51.704843210324839</v>
      </c>
      <c r="S145" s="6"/>
    </row>
    <row r="146" spans="1:19" s="45" customFormat="1" ht="13.2">
      <c r="A146" s="38"/>
      <c r="B146" s="39">
        <v>64.75</v>
      </c>
      <c r="C146" s="9">
        <f t="shared" si="18"/>
        <v>51867.83</v>
      </c>
      <c r="D146" s="64"/>
      <c r="E146" s="64"/>
      <c r="F146" s="64"/>
      <c r="H146" s="26">
        <v>-3.8373847057218398</v>
      </c>
      <c r="I146" s="26">
        <v>-9.4211342064368786</v>
      </c>
      <c r="J146" s="42"/>
      <c r="K146" s="22">
        <f t="shared" si="17"/>
        <v>77.392000000007101</v>
      </c>
      <c r="M146" s="64"/>
      <c r="P146" s="23">
        <v>51.704843210324839</v>
      </c>
      <c r="S146" s="6"/>
    </row>
    <row r="147" spans="1:19" s="45" customFormat="1" ht="13.2">
      <c r="A147" s="38"/>
      <c r="B147" s="39">
        <v>65.349999999999994</v>
      </c>
      <c r="C147" s="9">
        <f t="shared" si="18"/>
        <v>51983.917999999998</v>
      </c>
      <c r="D147" s="64"/>
      <c r="E147" s="64"/>
      <c r="F147" s="64"/>
      <c r="H147" s="26">
        <v>-3.8618078348334168</v>
      </c>
      <c r="I147" s="26">
        <v>-8.151561887810491</v>
      </c>
      <c r="J147" s="42"/>
      <c r="K147" s="22">
        <f t="shared" si="17"/>
        <v>116.0879999999961</v>
      </c>
      <c r="M147" s="64"/>
      <c r="P147" s="23">
        <v>51.704843210324839</v>
      </c>
      <c r="S147" s="6"/>
    </row>
    <row r="148" spans="1:19" s="45" customFormat="1" ht="13.2">
      <c r="A148" s="38"/>
      <c r="B148" s="39">
        <v>65.900000000000006</v>
      </c>
      <c r="C148" s="9">
        <f t="shared" si="18"/>
        <v>52090.332000000002</v>
      </c>
      <c r="D148" s="64"/>
      <c r="E148" s="64"/>
      <c r="F148" s="64"/>
      <c r="H148" s="26">
        <v>-4.1067443158708414</v>
      </c>
      <c r="I148" s="26">
        <v>-9.782701271508623</v>
      </c>
      <c r="J148" s="42"/>
      <c r="K148" s="22">
        <f t="shared" si="17"/>
        <v>106.41400000000431</v>
      </c>
      <c r="M148" s="64"/>
      <c r="P148" s="23">
        <v>51.704843210324839</v>
      </c>
      <c r="S148" s="6"/>
    </row>
    <row r="149" spans="1:19" s="45" customFormat="1" ht="13.2">
      <c r="A149" s="38"/>
      <c r="B149" s="39">
        <v>66.349999999999994</v>
      </c>
      <c r="C149" s="9">
        <f t="shared" si="18"/>
        <v>52177.398000000001</v>
      </c>
      <c r="D149" s="64"/>
      <c r="E149" s="64"/>
      <c r="F149" s="64"/>
      <c r="H149" s="26">
        <v>-4.3495851296952779</v>
      </c>
      <c r="I149" s="26">
        <v>-9.8384108906048127</v>
      </c>
      <c r="J149" s="42"/>
      <c r="K149" s="22">
        <f t="shared" si="17"/>
        <v>87.065999999998894</v>
      </c>
      <c r="M149" s="64"/>
      <c r="P149" s="23">
        <v>51.704843210324839</v>
      </c>
      <c r="S149" s="6"/>
    </row>
    <row r="150" spans="1:19" s="13" customFormat="1">
      <c r="A150" s="13" t="s">
        <v>34</v>
      </c>
      <c r="B150" s="13">
        <v>66.5</v>
      </c>
      <c r="C150" s="9">
        <f t="shared" si="18"/>
        <v>52206.42</v>
      </c>
      <c r="F150" s="96"/>
      <c r="G150" s="13" t="s">
        <v>13</v>
      </c>
      <c r="J150" s="12">
        <v>-1.7</v>
      </c>
      <c r="P150" s="14"/>
    </row>
    <row r="151" spans="1:19">
      <c r="A151" s="48">
        <v>50745.571880016963</v>
      </c>
      <c r="P151" s="23"/>
    </row>
    <row r="152" spans="1:19">
      <c r="A152" s="96">
        <v>7461.1492811362514</v>
      </c>
      <c r="K152" s="22">
        <f>AVERAGE(K3:K149)</f>
        <v>165.56221428571428</v>
      </c>
      <c r="L152" s="6">
        <v>300</v>
      </c>
      <c r="P152" s="23">
        <f>(B149-B14)/(C149-C14)</f>
        <v>5.8300843457161512E-3</v>
      </c>
    </row>
    <row r="153" spans="1:19">
      <c r="G153" s="6" t="s">
        <v>35</v>
      </c>
      <c r="H153" s="26">
        <f>MAX(H3:H149)</f>
        <v>-3.3636390959889235</v>
      </c>
      <c r="I153" s="26">
        <f>MAX(I3:I149)</f>
        <v>-5.0051128299196082</v>
      </c>
      <c r="K153" s="22">
        <f>MIN(K3:K149)</f>
        <v>7.5110381695194519</v>
      </c>
      <c r="P153" s="23"/>
    </row>
    <row r="154" spans="1:19">
      <c r="G154" s="6" t="s">
        <v>36</v>
      </c>
      <c r="H154" s="26">
        <f>MIN(H3:H149)</f>
        <v>-4.6694675742047336</v>
      </c>
      <c r="I154" s="26">
        <f>MIN(I3:I149)</f>
        <v>-10.232226707147902</v>
      </c>
      <c r="P154" s="23"/>
    </row>
    <row r="155" spans="1:19">
      <c r="P155" s="23"/>
    </row>
    <row r="156" spans="1:19">
      <c r="P156" s="23"/>
    </row>
    <row r="157" spans="1:19">
      <c r="P157" s="23"/>
    </row>
    <row r="158" spans="1:19">
      <c r="H158" s="97" t="s">
        <v>37</v>
      </c>
      <c r="I158" s="98">
        <f>(C150-C14)</f>
        <v>10474.839999999997</v>
      </c>
      <c r="P158" s="23"/>
    </row>
    <row r="159" spans="1:19">
      <c r="I159" s="97">
        <f>I158/137</f>
        <v>76.458686131386841</v>
      </c>
      <c r="P159" s="23"/>
    </row>
    <row r="160" spans="1:19">
      <c r="P160" s="23"/>
    </row>
    <row r="161" spans="16:16">
      <c r="P161" s="23"/>
    </row>
    <row r="162" spans="16:16">
      <c r="P162" s="23"/>
    </row>
    <row r="163" spans="16:16">
      <c r="P163" s="23"/>
    </row>
    <row r="164" spans="16:16">
      <c r="P164" s="23"/>
    </row>
    <row r="165" spans="16:16">
      <c r="P165" s="23"/>
    </row>
    <row r="166" spans="16:16">
      <c r="P166" s="23"/>
    </row>
    <row r="167" spans="16:16">
      <c r="P167" s="23"/>
    </row>
    <row r="168" spans="16:16">
      <c r="P168" s="23"/>
    </row>
    <row r="169" spans="16:16">
      <c r="P169" s="23"/>
    </row>
    <row r="170" spans="16:16">
      <c r="P170" s="23"/>
    </row>
    <row r="171" spans="16:16">
      <c r="P171" s="23"/>
    </row>
  </sheetData>
  <phoneticPr fontId="24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vil14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kwainer</dc:creator>
  <cp:lastModifiedBy>Dominique GENTY</cp:lastModifiedBy>
  <dcterms:created xsi:type="dcterms:W3CDTF">2008-05-21T11:37:58Z</dcterms:created>
  <dcterms:modified xsi:type="dcterms:W3CDTF">2024-02-08T15:21:12Z</dcterms:modified>
</cp:coreProperties>
</file>