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peleotheque Dominique Genty\ARBORESCENCE-SITE\FRANCE\VILLARS\SAMPLES\VIL-STM1\VIL-STM1_DATA\"/>
    </mc:Choice>
  </mc:AlternateContent>
  <bookViews>
    <workbookView xWindow="0" yWindow="0" windowWidth="28800" windowHeight="12300"/>
  </bookViews>
  <sheets>
    <sheet name="VIL1C14-calcul-dcp-U-Th" sheetId="1" r:id="rId1"/>
  </sheets>
  <externalReferences>
    <externalReference r:id="rId2"/>
    <externalReference r:id="rId3"/>
    <externalReference r:id="rId4"/>
  </externalReferences>
  <definedNames>
    <definedName name="Cortij">[1]SPECMAP!$L$8:$N$146</definedName>
    <definedName name="Cortijo">#REF!</definedName>
    <definedName name="Imbrie">#REF!</definedName>
    <definedName name="Labeyrie">#REF!</definedName>
    <definedName name="Martinson">#REF!</definedName>
    <definedName name="toto">[3]SPECMAP!$L$8:$N$146</definedName>
    <definedName name="Vogelsang">#REF!</definedName>
    <definedName name="Waelbroeck">#REF!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X32" i="1"/>
  <c r="V32" i="1"/>
  <c r="U32" i="1"/>
  <c r="T32" i="1"/>
  <c r="H32" i="1"/>
  <c r="N32" i="1" s="1"/>
  <c r="J30" i="1"/>
  <c r="I30" i="1"/>
  <c r="I29" i="1"/>
  <c r="BK27" i="1"/>
  <c r="AS25" i="1"/>
  <c r="AO25" i="1"/>
  <c r="AN25" i="1"/>
  <c r="AM25" i="1"/>
  <c r="AL25" i="1"/>
  <c r="AI25" i="1"/>
  <c r="AH25" i="1"/>
  <c r="AF25" i="1"/>
  <c r="H25" i="1"/>
  <c r="AX24" i="1"/>
  <c r="AW24" i="1"/>
  <c r="AV24" i="1"/>
  <c r="AR24" i="1"/>
  <c r="AS24" i="1" s="1"/>
  <c r="AO24" i="1"/>
  <c r="AN24" i="1"/>
  <c r="AM24" i="1"/>
  <c r="AL24" i="1"/>
  <c r="AI24" i="1"/>
  <c r="AH24" i="1"/>
  <c r="AF24" i="1"/>
  <c r="AD24" i="1"/>
  <c r="X24" i="1"/>
  <c r="V24" i="1"/>
  <c r="U24" i="1"/>
  <c r="W24" i="1" s="1"/>
  <c r="T24" i="1"/>
  <c r="Q24" i="1"/>
  <c r="P24" i="1"/>
  <c r="O24" i="1"/>
  <c r="BR24" i="1" s="1"/>
  <c r="M24" i="1"/>
  <c r="L24" i="1"/>
  <c r="N24" i="1" s="1"/>
  <c r="H24" i="1"/>
  <c r="AC24" i="1" s="1"/>
  <c r="AX23" i="1"/>
  <c r="AF23" i="1"/>
  <c r="AD23" i="1"/>
  <c r="X23" i="1"/>
  <c r="V23" i="1"/>
  <c r="U23" i="1"/>
  <c r="W23" i="1" s="1"/>
  <c r="T23" i="1"/>
  <c r="Q23" i="1"/>
  <c r="P23" i="1"/>
  <c r="O23" i="1"/>
  <c r="BR23" i="1" s="1"/>
  <c r="N23" i="1"/>
  <c r="M23" i="1"/>
  <c r="L23" i="1"/>
  <c r="H23" i="1"/>
  <c r="AC23" i="1" s="1"/>
  <c r="AX22" i="1"/>
  <c r="AW22" i="1"/>
  <c r="AV22" i="1"/>
  <c r="AR22" i="1"/>
  <c r="AS22" i="1" s="1"/>
  <c r="AO22" i="1"/>
  <c r="AN22" i="1"/>
  <c r="AM22" i="1"/>
  <c r="AL22" i="1"/>
  <c r="AI22" i="1"/>
  <c r="AH22" i="1"/>
  <c r="AF22" i="1"/>
  <c r="AD22" i="1"/>
  <c r="X22" i="1"/>
  <c r="V22" i="1"/>
  <c r="U22" i="1"/>
  <c r="W22" i="1" s="1"/>
  <c r="T22" i="1"/>
  <c r="Q22" i="1"/>
  <c r="P22" i="1"/>
  <c r="O22" i="1"/>
  <c r="BR22" i="1" s="1"/>
  <c r="M22" i="1"/>
  <c r="L22" i="1"/>
  <c r="N22" i="1" s="1"/>
  <c r="H22" i="1"/>
  <c r="AC22" i="1" s="1"/>
  <c r="AN21" i="1"/>
  <c r="AO21" i="1" s="1"/>
  <c r="AM21" i="1"/>
  <c r="AS21" i="1" s="1"/>
  <c r="AL21" i="1"/>
  <c r="AI21" i="1"/>
  <c r="AH21" i="1"/>
  <c r="AF21" i="1"/>
  <c r="AD21" i="1"/>
  <c r="AC21" i="1"/>
  <c r="X21" i="1"/>
  <c r="W21" i="1"/>
  <c r="V21" i="1"/>
  <c r="U21" i="1"/>
  <c r="Q21" i="1"/>
  <c r="T21" i="1" s="1"/>
  <c r="P21" i="1"/>
  <c r="N21" i="1"/>
  <c r="M21" i="1"/>
  <c r="L21" i="1"/>
  <c r="O21" i="1" s="1"/>
  <c r="AX20" i="1"/>
  <c r="AF20" i="1"/>
  <c r="AD20" i="1"/>
  <c r="X20" i="1"/>
  <c r="V20" i="1"/>
  <c r="U20" i="1"/>
  <c r="W20" i="1" s="1"/>
  <c r="T20" i="1"/>
  <c r="Q20" i="1"/>
  <c r="P20" i="1"/>
  <c r="O20" i="1"/>
  <c r="BR20" i="1" s="1"/>
  <c r="M20" i="1"/>
  <c r="L20" i="1"/>
  <c r="N20" i="1" s="1"/>
  <c r="H20" i="1"/>
  <c r="AC20" i="1" s="1"/>
  <c r="AN19" i="1"/>
  <c r="AF19" i="1"/>
  <c r="AD19" i="1"/>
  <c r="AC19" i="1"/>
  <c r="X19" i="1"/>
  <c r="V19" i="1"/>
  <c r="U19" i="1"/>
  <c r="W19" i="1" s="1"/>
  <c r="T19" i="1"/>
  <c r="Q19" i="1"/>
  <c r="P19" i="1"/>
  <c r="O19" i="1"/>
  <c r="M19" i="1"/>
  <c r="L19" i="1"/>
  <c r="N19" i="1" s="1"/>
  <c r="BE18" i="1"/>
  <c r="AX18" i="1"/>
  <c r="AW18" i="1"/>
  <c r="AV18" i="1"/>
  <c r="AR18" i="1"/>
  <c r="AS18" i="1" s="1"/>
  <c r="AN18" i="1"/>
  <c r="AM18" i="1"/>
  <c r="AL18" i="1"/>
  <c r="AO18" i="1" s="1"/>
  <c r="AI18" i="1"/>
  <c r="AH18" i="1"/>
  <c r="AF18" i="1"/>
  <c r="AD18" i="1"/>
  <c r="X18" i="1"/>
  <c r="V18" i="1"/>
  <c r="W18" i="1" s="1"/>
  <c r="U18" i="1"/>
  <c r="Q18" i="1"/>
  <c r="T18" i="1" s="1"/>
  <c r="P18" i="1"/>
  <c r="M18" i="1"/>
  <c r="L18" i="1"/>
  <c r="O18" i="1" s="1"/>
  <c r="BR18" i="1" s="1"/>
  <c r="H18" i="1"/>
  <c r="AC18" i="1" s="1"/>
  <c r="AN17" i="1"/>
  <c r="AF17" i="1"/>
  <c r="AD17" i="1"/>
  <c r="AC17" i="1"/>
  <c r="X17" i="1"/>
  <c r="V17" i="1"/>
  <c r="W17" i="1" s="1"/>
  <c r="U17" i="1"/>
  <c r="Q17" i="1"/>
  <c r="T17" i="1" s="1"/>
  <c r="P17" i="1"/>
  <c r="M17" i="1"/>
  <c r="L17" i="1"/>
  <c r="O17" i="1" s="1"/>
  <c r="BE16" i="1"/>
  <c r="AW16" i="1"/>
  <c r="AV16" i="1"/>
  <c r="AN16" i="1"/>
  <c r="AR16" i="1" s="1"/>
  <c r="AS16" i="1" s="1"/>
  <c r="AM16" i="1"/>
  <c r="AL16" i="1"/>
  <c r="AI16" i="1"/>
  <c r="AH16" i="1"/>
  <c r="AF16" i="1"/>
  <c r="AD16" i="1"/>
  <c r="X16" i="1"/>
  <c r="W16" i="1"/>
  <c r="V16" i="1"/>
  <c r="U16" i="1"/>
  <c r="Q16" i="1"/>
  <c r="T16" i="1" s="1"/>
  <c r="P16" i="1"/>
  <c r="N16" i="1"/>
  <c r="M16" i="1"/>
  <c r="L16" i="1"/>
  <c r="O16" i="1" s="1"/>
  <c r="BR16" i="1" s="1"/>
  <c r="H16" i="1"/>
  <c r="AC16" i="1" s="1"/>
  <c r="AS15" i="1"/>
  <c r="AO15" i="1"/>
  <c r="AN15" i="1"/>
  <c r="AM15" i="1"/>
  <c r="AL15" i="1"/>
  <c r="AI15" i="1"/>
  <c r="AH15" i="1"/>
  <c r="AF15" i="1"/>
  <c r="AD15" i="1"/>
  <c r="AC15" i="1"/>
  <c r="X15" i="1"/>
  <c r="V15" i="1"/>
  <c r="U15" i="1"/>
  <c r="W15" i="1" s="1"/>
  <c r="T15" i="1"/>
  <c r="Q15" i="1"/>
  <c r="P15" i="1"/>
  <c r="O15" i="1"/>
  <c r="M15" i="1"/>
  <c r="L15" i="1"/>
  <c r="N15" i="1" s="1"/>
  <c r="BP14" i="1"/>
  <c r="BE14" i="1"/>
  <c r="AW14" i="1"/>
  <c r="AV14" i="1"/>
  <c r="AN14" i="1"/>
  <c r="AR14" i="1" s="1"/>
  <c r="AS14" i="1" s="1"/>
  <c r="AM14" i="1"/>
  <c r="AL14" i="1"/>
  <c r="AI14" i="1"/>
  <c r="AH14" i="1"/>
  <c r="AF14" i="1"/>
  <c r="AD14" i="1"/>
  <c r="X14" i="1"/>
  <c r="W14" i="1"/>
  <c r="V14" i="1"/>
  <c r="U14" i="1"/>
  <c r="Q14" i="1"/>
  <c r="T14" i="1" s="1"/>
  <c r="P14" i="1"/>
  <c r="N14" i="1"/>
  <c r="M14" i="1"/>
  <c r="L14" i="1"/>
  <c r="O14" i="1" s="1"/>
  <c r="BR14" i="1" s="1"/>
  <c r="H14" i="1"/>
  <c r="AC14" i="1" s="1"/>
  <c r="AN13" i="1"/>
  <c r="AF13" i="1"/>
  <c r="AD13" i="1"/>
  <c r="AC13" i="1"/>
  <c r="X13" i="1"/>
  <c r="W13" i="1"/>
  <c r="V13" i="1"/>
  <c r="U13" i="1"/>
  <c r="Q13" i="1"/>
  <c r="T13" i="1" s="1"/>
  <c r="P13" i="1"/>
  <c r="N13" i="1"/>
  <c r="M13" i="1"/>
  <c r="L13" i="1"/>
  <c r="O13" i="1" s="1"/>
  <c r="AN12" i="1"/>
  <c r="AF12" i="1"/>
  <c r="AD12" i="1"/>
  <c r="AC12" i="1"/>
  <c r="X12" i="1"/>
  <c r="V12" i="1"/>
  <c r="W12" i="1" s="1"/>
  <c r="U12" i="1"/>
  <c r="Q12" i="1"/>
  <c r="T12" i="1" s="1"/>
  <c r="P12" i="1"/>
  <c r="M12" i="1"/>
  <c r="L12" i="1"/>
  <c r="O12" i="1" s="1"/>
  <c r="AN11" i="1"/>
  <c r="AF11" i="1"/>
  <c r="AD11" i="1"/>
  <c r="AC11" i="1"/>
  <c r="X11" i="1"/>
  <c r="V11" i="1"/>
  <c r="U11" i="1"/>
  <c r="W11" i="1" s="1"/>
  <c r="T11" i="1"/>
  <c r="Q11" i="1"/>
  <c r="P11" i="1"/>
  <c r="O11" i="1"/>
  <c r="M11" i="1"/>
  <c r="L11" i="1"/>
  <c r="N11" i="1" s="1"/>
  <c r="BE10" i="1"/>
  <c r="AW10" i="1"/>
  <c r="AV10" i="1"/>
  <c r="AN10" i="1"/>
  <c r="AO10" i="1" s="1"/>
  <c r="AM10" i="1"/>
  <c r="AL10" i="1"/>
  <c r="AI10" i="1"/>
  <c r="AH10" i="1"/>
  <c r="AF10" i="1"/>
  <c r="AD10" i="1"/>
  <c r="X10" i="1"/>
  <c r="V10" i="1"/>
  <c r="U10" i="1"/>
  <c r="W10" i="1" s="1"/>
  <c r="T10" i="1"/>
  <c r="Q10" i="1"/>
  <c r="P10" i="1"/>
  <c r="O10" i="1"/>
  <c r="N10" i="1"/>
  <c r="M10" i="1"/>
  <c r="L10" i="1"/>
  <c r="H10" i="1"/>
  <c r="AC10" i="1" s="1"/>
  <c r="AN9" i="1"/>
  <c r="AF9" i="1"/>
  <c r="AD9" i="1"/>
  <c r="AC9" i="1"/>
  <c r="X9" i="1"/>
  <c r="V9" i="1"/>
  <c r="U9" i="1"/>
  <c r="W9" i="1" s="1"/>
  <c r="T9" i="1"/>
  <c r="Q9" i="1"/>
  <c r="P9" i="1"/>
  <c r="O9" i="1"/>
  <c r="N9" i="1"/>
  <c r="M9" i="1"/>
  <c r="L9" i="1"/>
  <c r="AN8" i="1"/>
  <c r="AF8" i="1"/>
  <c r="AD8" i="1"/>
  <c r="AC8" i="1"/>
  <c r="X8" i="1"/>
  <c r="W8" i="1"/>
  <c r="V8" i="1"/>
  <c r="U8" i="1"/>
  <c r="Q8" i="1"/>
  <c r="T8" i="1" s="1"/>
  <c r="P8" i="1"/>
  <c r="N8" i="1"/>
  <c r="M8" i="1"/>
  <c r="L8" i="1"/>
  <c r="O8" i="1" s="1"/>
  <c r="BH7" i="1"/>
  <c r="BN7" i="1" s="1"/>
  <c r="BE7" i="1"/>
  <c r="AF7" i="1"/>
  <c r="AD7" i="1"/>
  <c r="X7" i="1"/>
  <c r="V7" i="1"/>
  <c r="U7" i="1"/>
  <c r="W7" i="1" s="1"/>
  <c r="T7" i="1"/>
  <c r="Q7" i="1"/>
  <c r="P7" i="1"/>
  <c r="O7" i="1"/>
  <c r="BR7" i="1" s="1"/>
  <c r="M7" i="1"/>
  <c r="L7" i="1"/>
  <c r="N7" i="1" s="1"/>
  <c r="H7" i="1"/>
  <c r="AC7" i="1" s="1"/>
  <c r="AN6" i="1"/>
  <c r="AF6" i="1"/>
  <c r="AD6" i="1"/>
  <c r="AC6" i="1"/>
  <c r="X6" i="1"/>
  <c r="V6" i="1"/>
  <c r="U6" i="1"/>
  <c r="W6" i="1" s="1"/>
  <c r="T6" i="1"/>
  <c r="Q6" i="1"/>
  <c r="P6" i="1"/>
  <c r="O6" i="1"/>
  <c r="M6" i="1"/>
  <c r="L6" i="1"/>
  <c r="N6" i="1" s="1"/>
  <c r="AN5" i="1"/>
  <c r="AF5" i="1"/>
  <c r="AD5" i="1"/>
  <c r="AC5" i="1"/>
  <c r="X5" i="1"/>
  <c r="V5" i="1"/>
  <c r="U5" i="1"/>
  <c r="W5" i="1" s="1"/>
  <c r="T5" i="1"/>
  <c r="Q5" i="1"/>
  <c r="P5" i="1"/>
  <c r="O5" i="1"/>
  <c r="N5" i="1"/>
  <c r="M5" i="1"/>
  <c r="L5" i="1"/>
  <c r="AM4" i="1"/>
  <c r="AL4" i="1"/>
  <c r="AH4" i="1"/>
  <c r="AF4" i="1"/>
  <c r="AA4" i="1"/>
  <c r="AN4" i="1" s="1"/>
  <c r="X4" i="1"/>
  <c r="W4" i="1"/>
  <c r="T4" i="1"/>
  <c r="P4" i="1"/>
  <c r="O4" i="1"/>
  <c r="M4" i="1"/>
  <c r="L4" i="1"/>
  <c r="N4" i="1" s="1"/>
  <c r="H4" i="1"/>
  <c r="BH3" i="1"/>
  <c r="BN3" i="1" s="1"/>
  <c r="BE3" i="1"/>
  <c r="AN3" i="1"/>
  <c r="AO3" i="1" s="1"/>
  <c r="AM3" i="1"/>
  <c r="AL3" i="1"/>
  <c r="AH3" i="1"/>
  <c r="AF3" i="1"/>
  <c r="AD3" i="1"/>
  <c r="AA3" i="1"/>
  <c r="X3" i="1"/>
  <c r="W3" i="1"/>
  <c r="T3" i="1"/>
  <c r="P3" i="1"/>
  <c r="O3" i="1"/>
  <c r="BR3" i="1" s="1"/>
  <c r="M3" i="1"/>
  <c r="L3" i="1"/>
  <c r="N3" i="1" s="1"/>
  <c r="H3" i="1"/>
  <c r="AC3" i="1" s="1"/>
  <c r="BN2" i="1"/>
  <c r="AF2" i="1"/>
  <c r="AD2" i="1"/>
  <c r="AC2" i="1"/>
  <c r="X2" i="1"/>
  <c r="W2" i="1"/>
  <c r="V2" i="1"/>
  <c r="U2" i="1"/>
  <c r="T2" i="1"/>
  <c r="AA2" i="1" s="1"/>
  <c r="P2" i="1"/>
  <c r="Y2" i="1" s="1"/>
  <c r="M2" i="1"/>
  <c r="L2" i="1"/>
  <c r="H2" i="1"/>
  <c r="AF1" i="1"/>
  <c r="AD1" i="1"/>
  <c r="AC1" i="1"/>
  <c r="X1" i="1"/>
  <c r="P1" i="1"/>
  <c r="AR4" i="1" l="1"/>
  <c r="AS4" i="1" s="1"/>
  <c r="AO4" i="1"/>
  <c r="AP27" i="1" s="1"/>
  <c r="AP29" i="1"/>
  <c r="AR3" i="1"/>
  <c r="AS3" i="1" s="1"/>
  <c r="AR10" i="1"/>
  <c r="AS10" i="1" s="1"/>
  <c r="AT27" i="1" s="1"/>
  <c r="N12" i="1"/>
  <c r="AO14" i="1"/>
  <c r="AO16" i="1"/>
  <c r="N17" i="1"/>
  <c r="N18" i="1"/>
  <c r="BH10" i="1"/>
  <c r="AX14" i="1"/>
  <c r="AX16" i="1"/>
  <c r="BH14" i="1" l="1"/>
  <c r="BN10" i="1"/>
  <c r="BH16" i="1" l="1"/>
  <c r="BN14" i="1"/>
  <c r="BH18" i="1" l="1"/>
  <c r="BN16" i="1"/>
  <c r="BH20" i="1" l="1"/>
  <c r="BN18" i="1"/>
  <c r="BN20" i="1" l="1"/>
  <c r="BH22" i="1"/>
  <c r="BH23" i="1" l="1"/>
  <c r="BN22" i="1"/>
  <c r="BH24" i="1" l="1"/>
  <c r="BN23" i="1"/>
  <c r="BN24" i="1" l="1"/>
  <c r="BH25" i="1"/>
  <c r="BH32" i="1" l="1"/>
  <c r="BN25" i="1"/>
  <c r="BN32" i="1" l="1"/>
  <c r="BH27" i="1"/>
  <c r="BH28" i="1" l="1"/>
  <c r="BN27" i="1"/>
  <c r="BH29" i="1" l="1"/>
  <c r="BN28" i="1"/>
  <c r="BH30" i="1" l="1"/>
  <c r="BN29" i="1"/>
  <c r="BH31" i="1" l="1"/>
  <c r="BN31" i="1" s="1"/>
  <c r="BN30" i="1"/>
</calcChain>
</file>

<file path=xl/sharedStrings.xml><?xml version="1.0" encoding="utf-8"?>
<sst xmlns="http://schemas.openxmlformats.org/spreadsheetml/2006/main" count="137" uniqueCount="106">
  <si>
    <t>Sample</t>
  </si>
  <si>
    <t>Lab. Number</t>
  </si>
  <si>
    <t>mm/top</t>
  </si>
  <si>
    <t>error</t>
  </si>
  <si>
    <t>mg</t>
  </si>
  <si>
    <t>14C Act. pMC</t>
  </si>
  <si>
    <t xml:space="preserve">error </t>
  </si>
  <si>
    <t>Conv. 14C age / year BP</t>
  </si>
  <si>
    <t>dcp %</t>
  </si>
  <si>
    <t xml:space="preserve">dcp corrected 14C act. pMC (dcp= 9,4 %) </t>
  </si>
  <si>
    <t>dcp cor. Conv. Ages, yr/1950</t>
  </si>
  <si>
    <t>Calibrated corrected (dcp=9,4%) 14C ages / cal. AD, graph adapted</t>
  </si>
  <si>
    <t>error+</t>
  </si>
  <si>
    <t>error-</t>
  </si>
  <si>
    <t>14C age/2000 (dcp=9,4 and cal.)</t>
  </si>
  <si>
    <t>total error</t>
  </si>
  <si>
    <t>Age model DG1</t>
  </si>
  <si>
    <t>U/TH sample</t>
  </si>
  <si>
    <t>U/Th ages/1997 ou 2013</t>
  </si>
  <si>
    <t>CALCUL DCP ET ERREUR DCP:</t>
  </si>
  <si>
    <t>U/Th ages cal. A.D./B.C.</t>
  </si>
  <si>
    <t>atm. D 14C act. from U/Th ages and calibration curve (Stuiver and Reimer, 93)</t>
  </si>
  <si>
    <t>D14C error</t>
  </si>
  <si>
    <t>atm. A 14C act. from U/Th ages and calibration curve (Stuiver and Reimer, 93), pMC</t>
  </si>
  <si>
    <t>error on Ai, from U/Th error and Stuiver curve pMC</t>
  </si>
  <si>
    <t>A 14C m init. pMC</t>
  </si>
  <si>
    <t>error on A 14C m init. pMC</t>
  </si>
  <si>
    <t>error on dcp, pMC</t>
  </si>
  <si>
    <t>U/Th ages /1950</t>
  </si>
  <si>
    <t>Conv. Dcp correc. 14C age BP (/1950)</t>
  </si>
  <si>
    <t>14C Growth rate mm/yr</t>
  </si>
  <si>
    <t>U/Th Growth rate mm/yr</t>
  </si>
  <si>
    <t>cm/base</t>
  </si>
  <si>
    <t>laminae Growth rte mm/yr</t>
  </si>
  <si>
    <t>Laminae age/1990</t>
  </si>
  <si>
    <t>Lami. date AD</t>
  </si>
  <si>
    <t>SAMPLE</t>
  </si>
  <si>
    <t>U/Th ages</t>
  </si>
  <si>
    <t>d13C / PDB</t>
  </si>
  <si>
    <t>d18O / PDB</t>
  </si>
  <si>
    <t>error isot.</t>
  </si>
  <si>
    <t>years</t>
  </si>
  <si>
    <t>% aug. Erreur due à dcp</t>
  </si>
  <si>
    <t>14C-C</t>
  </si>
  <si>
    <t>PA 234</t>
  </si>
  <si>
    <t>U/Th ages cal. BP /1950</t>
  </si>
  <si>
    <t>14C-H</t>
  </si>
  <si>
    <t>PA 276</t>
  </si>
  <si>
    <t>A0=</t>
  </si>
  <si>
    <t>14C-R</t>
  </si>
  <si>
    <t>PA 694</t>
  </si>
  <si>
    <t>Vil-stm 1-40</t>
  </si>
  <si>
    <t>SacA 32725</t>
  </si>
  <si>
    <t>Vil-stm 1-76</t>
  </si>
  <si>
    <t>SacA 32726</t>
  </si>
  <si>
    <t>14C-L</t>
  </si>
  <si>
    <t>PA 290</t>
  </si>
  <si>
    <t>Vil-stm 1-120</t>
  </si>
  <si>
    <t>SacA 32727</t>
  </si>
  <si>
    <t>Vil-stm 1-160</t>
  </si>
  <si>
    <t>SacA 32728</t>
  </si>
  <si>
    <t>14C-G</t>
  </si>
  <si>
    <t>PA 275</t>
  </si>
  <si>
    <t>U/Th-C</t>
  </si>
  <si>
    <t>Ames=</t>
  </si>
  <si>
    <t>Vil-stm 1-200</t>
  </si>
  <si>
    <t>SacA 32729</t>
  </si>
  <si>
    <t>Vil-stm 1-240</t>
  </si>
  <si>
    <t>SacA 32730</t>
  </si>
  <si>
    <t>Vil-stm 1-280</t>
  </si>
  <si>
    <t>SacA 32731</t>
  </si>
  <si>
    <t>14C-K</t>
  </si>
  <si>
    <t>PA 289</t>
  </si>
  <si>
    <t>U/Th-H</t>
  </si>
  <si>
    <t>Vil-stm 1-320</t>
  </si>
  <si>
    <t>SacA 32732</t>
  </si>
  <si>
    <t>Vil1-320</t>
  </si>
  <si>
    <t>14C-B</t>
  </si>
  <si>
    <t>PA233</t>
  </si>
  <si>
    <t>U/Th-F</t>
  </si>
  <si>
    <t>Vil-stm 1-440</t>
  </si>
  <si>
    <t>SacA 32733</t>
  </si>
  <si>
    <t>14C-J</t>
  </si>
  <si>
    <t>PA 288</t>
  </si>
  <si>
    <t>U/Th-B</t>
  </si>
  <si>
    <t>Vil-stm 1-560</t>
  </si>
  <si>
    <t>SacA 32734</t>
  </si>
  <si>
    <t>14C-I</t>
  </si>
  <si>
    <t>PA 287</t>
  </si>
  <si>
    <t>Vil-stm 1-680</t>
  </si>
  <si>
    <t>SacA 32735</t>
  </si>
  <si>
    <t>Vil1-680</t>
  </si>
  <si>
    <t>14C-F</t>
  </si>
  <si>
    <t>PA 274</t>
  </si>
  <si>
    <t>U/Th-E2</t>
  </si>
  <si>
    <t>14C-E</t>
  </si>
  <si>
    <t>PA 273</t>
  </si>
  <si>
    <t>14C-A</t>
  </si>
  <si>
    <t>PA 232</t>
  </si>
  <si>
    <t>U/Th-A</t>
  </si>
  <si>
    <t>Vil1-1070</t>
  </si>
  <si>
    <r>
      <t>-3E-14x</t>
    </r>
    <r>
      <rPr>
        <vertAlign val="superscript"/>
        <sz val="10"/>
        <color indexed="8"/>
        <rFont val="MS Sans Serif"/>
        <family val="2"/>
      </rPr>
      <t>5</t>
    </r>
    <r>
      <rPr>
        <sz val="10"/>
        <color indexed="8"/>
        <rFont val="MS Sans Serif"/>
        <family val="2"/>
      </rPr>
      <t xml:space="preserve"> + 3E-10x</t>
    </r>
    <r>
      <rPr>
        <vertAlign val="superscript"/>
        <sz val="10"/>
        <color indexed="8"/>
        <rFont val="MS Sans Serif"/>
        <family val="2"/>
      </rPr>
      <t>4</t>
    </r>
    <r>
      <rPr>
        <sz val="10"/>
        <color indexed="8"/>
        <rFont val="MS Sans Serif"/>
        <family val="2"/>
      </rPr>
      <t xml:space="preserve"> - 9E-07x</t>
    </r>
    <r>
      <rPr>
        <vertAlign val="superscript"/>
        <sz val="10"/>
        <color indexed="8"/>
        <rFont val="MS Sans Serif"/>
        <family val="2"/>
      </rPr>
      <t>3</t>
    </r>
    <r>
      <rPr>
        <sz val="10"/>
        <color indexed="8"/>
        <rFont val="MS Sans Serif"/>
        <family val="2"/>
      </rPr>
      <t xml:space="preserve"> + 0,001x</t>
    </r>
    <r>
      <rPr>
        <vertAlign val="superscript"/>
        <sz val="10"/>
        <color indexed="8"/>
        <rFont val="MS Sans Serif"/>
        <family val="2"/>
      </rPr>
      <t>2</t>
    </r>
    <r>
      <rPr>
        <sz val="10"/>
        <color indexed="8"/>
        <rFont val="MS Sans Serif"/>
        <family val="2"/>
      </rPr>
      <t xml:space="preserve"> - 0,0164x + 8,3186</t>
    </r>
  </si>
  <si>
    <t>ect=</t>
  </si>
  <si>
    <t>R² = 0,9874</t>
  </si>
  <si>
    <t>14C-D</t>
  </si>
  <si>
    <t>B410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</si>
</sst>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9" x14ac:knownFonts="1">
    <font>
      <sz val="10"/>
      <name val="MS Sans Serif"/>
    </font>
    <font>
      <b/>
      <sz val="8"/>
      <name val="MS Sans Serif"/>
      <family val="2"/>
    </font>
    <font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indexed="10"/>
      <name val="MS Sans Serif"/>
      <family val="2"/>
    </font>
    <font>
      <b/>
      <sz val="8"/>
      <color indexed="10"/>
      <name val="MS Sans Serif"/>
      <family val="2"/>
    </font>
    <font>
      <sz val="8"/>
      <color indexed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i/>
      <sz val="8"/>
      <name val="MS Sans Serif"/>
      <family val="2"/>
    </font>
    <font>
      <b/>
      <sz val="8"/>
      <color rgb="FFFF0000"/>
      <name val="MS Sans Serif"/>
      <family val="2"/>
    </font>
    <font>
      <sz val="10"/>
      <color rgb="FF000000"/>
      <name val="MS Sans Serif"/>
      <family val="2"/>
    </font>
    <font>
      <vertAlign val="superscript"/>
      <sz val="10"/>
      <color indexed="8"/>
      <name val="MS Sans Serif"/>
      <family val="2"/>
    </font>
    <font>
      <sz val="10"/>
      <color indexed="8"/>
      <name val="MS Sans Serif"/>
      <family val="2"/>
    </font>
    <font>
      <b/>
      <i/>
      <sz val="8"/>
      <name val="MS Sans Serif"/>
      <family val="2"/>
    </font>
    <font>
      <b/>
      <sz val="10"/>
      <name val="MS Sans Serif"/>
    </font>
    <font>
      <b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14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164" fontId="1" fillId="3" borderId="0" xfId="0" applyNumberFormat="1" applyFon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4" fillId="0" borderId="0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2" fillId="0" borderId="0" xfId="0" applyFont="1" applyAlignment="1">
      <alignment horizontal="right"/>
    </xf>
    <xf numFmtId="164" fontId="1" fillId="3" borderId="0" xfId="0" applyNumberFormat="1" applyFont="1" applyFill="1" applyAlignment="1">
      <alignment horizontal="center"/>
    </xf>
    <xf numFmtId="2" fontId="2" fillId="0" borderId="0" xfId="0" applyNumberFormat="1" applyFont="1"/>
    <xf numFmtId="0" fontId="1" fillId="0" borderId="0" xfId="0" applyFont="1" applyAlignment="1">
      <alignment horizontal="right"/>
    </xf>
    <xf numFmtId="1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/>
    <xf numFmtId="164" fontId="7" fillId="3" borderId="0" xfId="0" applyNumberFormat="1" applyFont="1" applyFill="1"/>
    <xf numFmtId="164" fontId="8" fillId="0" borderId="0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10" fillId="4" borderId="0" xfId="0" applyFont="1" applyFill="1"/>
    <xf numFmtId="0" fontId="2" fillId="4" borderId="0" xfId="0" applyFont="1" applyFill="1" applyAlignment="1">
      <alignment horizontal="center"/>
    </xf>
    <xf numFmtId="0" fontId="10" fillId="4" borderId="0" xfId="0" applyFont="1" applyFill="1" applyAlignment="1">
      <alignment horizontal="right"/>
    </xf>
    <xf numFmtId="2" fontId="4" fillId="4" borderId="0" xfId="0" applyNumberFormat="1" applyFont="1" applyFill="1" applyBorder="1" applyAlignment="1">
      <alignment horizontal="right"/>
    </xf>
    <xf numFmtId="0" fontId="10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1" fillId="4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8" fillId="4" borderId="0" xfId="0" applyNumberFormat="1" applyFont="1" applyFill="1" applyBorder="1" applyAlignment="1">
      <alignment horizontal="center"/>
    </xf>
    <xf numFmtId="2" fontId="6" fillId="4" borderId="0" xfId="0" applyNumberFormat="1" applyFont="1" applyFill="1" applyAlignment="1">
      <alignment horizontal="left"/>
    </xf>
    <xf numFmtId="2" fontId="7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right"/>
    </xf>
    <xf numFmtId="1" fontId="2" fillId="4" borderId="0" xfId="0" applyNumberFormat="1" applyFont="1" applyFill="1" applyAlignment="1">
      <alignment horizontal="left"/>
    </xf>
    <xf numFmtId="164" fontId="2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2" fontId="2" fillId="4" borderId="0" xfId="0" applyNumberFormat="1" applyFont="1" applyFill="1"/>
    <xf numFmtId="164" fontId="3" fillId="4" borderId="2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right"/>
    </xf>
    <xf numFmtId="1" fontId="1" fillId="4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1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2" fontId="1" fillId="3" borderId="0" xfId="0" applyNumberFormat="1" applyFont="1" applyFill="1"/>
    <xf numFmtId="2" fontId="2" fillId="4" borderId="0" xfId="0" applyNumberFormat="1" applyFont="1" applyFill="1" applyAlignment="1">
      <alignment horizontal="left"/>
    </xf>
    <xf numFmtId="2" fontId="1" fillId="4" borderId="0" xfId="0" applyNumberFormat="1" applyFont="1" applyFill="1" applyAlignment="1">
      <alignment horizontal="center"/>
    </xf>
    <xf numFmtId="0" fontId="2" fillId="4" borderId="0" xfId="0" applyFont="1" applyFill="1"/>
    <xf numFmtId="164" fontId="3" fillId="4" borderId="0" xfId="0" applyNumberFormat="1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" fontId="1" fillId="5" borderId="0" xfId="0" applyNumberFormat="1" applyFont="1" applyFill="1"/>
    <xf numFmtId="2" fontId="2" fillId="5" borderId="0" xfId="0" applyNumberFormat="1" applyFont="1" applyFill="1"/>
    <xf numFmtId="2" fontId="1" fillId="5" borderId="0" xfId="0" applyNumberFormat="1" applyFont="1" applyFill="1"/>
    <xf numFmtId="164" fontId="4" fillId="5" borderId="0" xfId="0" applyNumberFormat="1" applyFont="1" applyFill="1" applyBorder="1" applyAlignment="1">
      <alignment horizontal="center"/>
    </xf>
    <xf numFmtId="2" fontId="2" fillId="5" borderId="0" xfId="0" applyNumberFormat="1" applyFont="1" applyFill="1" applyAlignment="1">
      <alignment horizontal="left"/>
    </xf>
    <xf numFmtId="2" fontId="1" fillId="5" borderId="0" xfId="0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0" fontId="2" fillId="2" borderId="0" xfId="0" applyFont="1" applyFill="1"/>
    <xf numFmtId="0" fontId="2" fillId="5" borderId="0" xfId="0" applyFont="1" applyFill="1"/>
    <xf numFmtId="0" fontId="1" fillId="5" borderId="0" xfId="0" applyFont="1" applyFill="1"/>
    <xf numFmtId="164" fontId="1" fillId="3" borderId="0" xfId="0" applyNumberFormat="1" applyFont="1" applyFill="1"/>
    <xf numFmtId="165" fontId="1" fillId="0" borderId="0" xfId="0" applyNumberFormat="1" applyFont="1"/>
    <xf numFmtId="164" fontId="1" fillId="0" borderId="0" xfId="0" applyNumberFormat="1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 readingOrder="1"/>
    </xf>
    <xf numFmtId="0" fontId="1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4" fontId="16" fillId="3" borderId="0" xfId="0" applyNumberFormat="1" applyFont="1" applyFill="1" applyAlignment="1">
      <alignment horizontal="center"/>
    </xf>
    <xf numFmtId="2" fontId="11" fillId="0" borderId="0" xfId="0" applyNumberFormat="1" applyFont="1" applyAlignment="1">
      <alignment horizontal="center"/>
    </xf>
    <xf numFmtId="1" fontId="0" fillId="0" borderId="0" xfId="0" applyNumberFormat="1"/>
    <xf numFmtId="0" fontId="17" fillId="0" borderId="0" xfId="0" applyFont="1" applyAlignment="1">
      <alignment horizontal="center"/>
    </xf>
    <xf numFmtId="0" fontId="17" fillId="2" borderId="0" xfId="0" applyFont="1" applyFill="1"/>
    <xf numFmtId="0" fontId="17" fillId="0" borderId="0" xfId="0" applyFont="1"/>
    <xf numFmtId="0" fontId="18" fillId="2" borderId="0" xfId="0" applyFont="1" applyFill="1"/>
    <xf numFmtId="0" fontId="0" fillId="2" borderId="0" xfId="0" applyFill="1" applyAlignment="1">
      <alignment horizontal="center"/>
    </xf>
    <xf numFmtId="0" fontId="18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164" fontId="18" fillId="3" borderId="0" xfId="0" applyNumberFormat="1" applyFont="1" applyFill="1"/>
    <xf numFmtId="2" fontId="0" fillId="0" borderId="0" xfId="0" applyNumberFormat="1"/>
    <xf numFmtId="0" fontId="0" fillId="2" borderId="0" xfId="0" applyFill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uchoud%20Isabelle/Mes%20documents/Sp&#233;l&#233;oth&#232;mes/Intergl-ser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il1-iso-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G/STM/VILLARS/Vilstm9/Vil9-is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-Eemien"/>
      <sheetName val="T1-speleoth"/>
      <sheetName val="Eemien-pollens (2)"/>
      <sheetName val="Eemien-pollens"/>
      <sheetName val="Eemien-speleot"/>
      <sheetName val="Eemien-Glaces"/>
      <sheetName val="Eemian-ocean"/>
      <sheetName val="inso-65NJUL-Ocean"/>
      <sheetName val="inso-65NJUL glaces (2)"/>
      <sheetName val="inso-65NJUL glaces"/>
      <sheetName val="inso-65NJUL dODH (2)"/>
      <sheetName val="inso-65NJUL dODH"/>
      <sheetName val="inso-65NJUL dCDH"/>
      <sheetName val="orbit91"/>
      <sheetName val="ECHETS-BOUCH-longseq"/>
      <sheetName val="Vil1-iso"/>
      <sheetName val="vil6"/>
      <sheetName val="Vil9-iso-final et autres"/>
      <sheetName val="vil11-iso"/>
      <sheetName val="Devils-Hole"/>
      <sheetName val="Soreq-data"/>
      <sheetName val="VOSTOK-deutnat"/>
      <sheetName val="GRIP-d18O"/>
      <sheetName val="gispd18o.dat"/>
      <sheetName val="GISP2+Blunier"/>
      <sheetName val="SPECMAP"/>
      <sheetName val="odp-677-bent"/>
      <sheetName val="DSDP609"/>
      <sheetName val="MD9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">
          <cell r="L8">
            <v>0</v>
          </cell>
          <cell r="N8">
            <v>3.12</v>
          </cell>
        </row>
        <row r="9">
          <cell r="L9">
            <v>0.85714000000000001</v>
          </cell>
          <cell r="M9">
            <v>857.14</v>
          </cell>
          <cell r="N9">
            <v>3.21</v>
          </cell>
        </row>
        <row r="10">
          <cell r="L10">
            <v>1.2857099999999999</v>
          </cell>
          <cell r="M10">
            <v>1285.7099999999998</v>
          </cell>
          <cell r="N10">
            <v>3.05</v>
          </cell>
        </row>
        <row r="11">
          <cell r="L11">
            <v>1.7142900000000001</v>
          </cell>
          <cell r="M11">
            <v>1714.2900000000002</v>
          </cell>
          <cell r="N11">
            <v>3.03</v>
          </cell>
        </row>
        <row r="12">
          <cell r="L12">
            <v>2.1428600000000002</v>
          </cell>
          <cell r="M12">
            <v>2142.86</v>
          </cell>
          <cell r="N12">
            <v>2.97</v>
          </cell>
        </row>
        <row r="13">
          <cell r="L13">
            <v>2.5714299999999999</v>
          </cell>
          <cell r="M13">
            <v>2571.4299999999998</v>
          </cell>
          <cell r="N13">
            <v>3.07</v>
          </cell>
        </row>
        <row r="14">
          <cell r="L14">
            <v>3</v>
          </cell>
          <cell r="M14">
            <v>3000</v>
          </cell>
          <cell r="N14">
            <v>2.9649999999999999</v>
          </cell>
        </row>
        <row r="15">
          <cell r="L15">
            <v>3.4285700000000001</v>
          </cell>
          <cell r="M15">
            <v>3428.57</v>
          </cell>
          <cell r="N15">
            <v>2.79</v>
          </cell>
        </row>
        <row r="16">
          <cell r="L16">
            <v>4.2857099999999999</v>
          </cell>
          <cell r="M16">
            <v>4285.71</v>
          </cell>
          <cell r="N16">
            <v>2.97</v>
          </cell>
        </row>
        <row r="17">
          <cell r="L17">
            <v>6</v>
          </cell>
          <cell r="M17">
            <v>6000</v>
          </cell>
          <cell r="N17">
            <v>2.97</v>
          </cell>
        </row>
        <row r="18">
          <cell r="L18">
            <v>6.8571400000000002</v>
          </cell>
          <cell r="M18">
            <v>6857.14</v>
          </cell>
          <cell r="N18">
            <v>2.97</v>
          </cell>
        </row>
        <row r="19">
          <cell r="L19">
            <v>7.7142900000000001</v>
          </cell>
          <cell r="M19">
            <v>7714.29</v>
          </cell>
          <cell r="N19">
            <v>2.84</v>
          </cell>
        </row>
        <row r="20">
          <cell r="L20">
            <v>8.5714299999999994</v>
          </cell>
          <cell r="M20">
            <v>8571.43</v>
          </cell>
          <cell r="N20">
            <v>2.95</v>
          </cell>
        </row>
        <row r="21">
          <cell r="L21">
            <v>9.4285700000000006</v>
          </cell>
          <cell r="M21">
            <v>9428.57</v>
          </cell>
          <cell r="N21">
            <v>3.24</v>
          </cell>
        </row>
        <row r="22">
          <cell r="L22">
            <v>10.28571</v>
          </cell>
          <cell r="M22">
            <v>10285.709999999999</v>
          </cell>
          <cell r="N22">
            <v>3.97</v>
          </cell>
        </row>
        <row r="23">
          <cell r="L23">
            <v>11.142860000000001</v>
          </cell>
          <cell r="M23">
            <v>11142.86</v>
          </cell>
          <cell r="N23">
            <v>3.69</v>
          </cell>
        </row>
        <row r="24">
          <cell r="L24">
            <v>12</v>
          </cell>
          <cell r="M24">
            <v>12000</v>
          </cell>
          <cell r="N24">
            <v>3.58</v>
          </cell>
        </row>
        <row r="25">
          <cell r="L25">
            <v>14.33333</v>
          </cell>
          <cell r="M25">
            <v>14333.33</v>
          </cell>
          <cell r="N25">
            <v>3.76</v>
          </cell>
        </row>
        <row r="26">
          <cell r="L26">
            <v>16.66667</v>
          </cell>
          <cell r="M26">
            <v>16666.669999999998</v>
          </cell>
          <cell r="N26">
            <v>4.34</v>
          </cell>
        </row>
        <row r="27">
          <cell r="L27">
            <v>19</v>
          </cell>
          <cell r="M27">
            <v>19000</v>
          </cell>
          <cell r="N27">
            <v>4.9400000000000004</v>
          </cell>
        </row>
        <row r="28">
          <cell r="L28">
            <v>20.2</v>
          </cell>
          <cell r="M28">
            <v>20200</v>
          </cell>
          <cell r="N28">
            <v>4.8</v>
          </cell>
        </row>
        <row r="29">
          <cell r="L29">
            <v>21.4</v>
          </cell>
          <cell r="M29">
            <v>21400</v>
          </cell>
          <cell r="N29">
            <v>4.9400000000000004</v>
          </cell>
        </row>
        <row r="30">
          <cell r="L30">
            <v>22.6</v>
          </cell>
          <cell r="M30">
            <v>22600</v>
          </cell>
          <cell r="N30">
            <v>4.91</v>
          </cell>
        </row>
        <row r="31">
          <cell r="L31">
            <v>23.8</v>
          </cell>
          <cell r="M31">
            <v>23800</v>
          </cell>
          <cell r="N31">
            <v>4.79</v>
          </cell>
        </row>
        <row r="32">
          <cell r="L32">
            <v>25</v>
          </cell>
          <cell r="M32">
            <v>25000</v>
          </cell>
          <cell r="N32">
            <v>4.67</v>
          </cell>
        </row>
        <row r="33">
          <cell r="L33">
            <v>28.79888</v>
          </cell>
          <cell r="M33">
            <v>28798.880000000001</v>
          </cell>
          <cell r="N33">
            <v>4.7699999999999996</v>
          </cell>
        </row>
        <row r="34">
          <cell r="L34">
            <v>30.698319999999999</v>
          </cell>
          <cell r="M34">
            <v>30698.32</v>
          </cell>
          <cell r="N34">
            <v>4.22</v>
          </cell>
        </row>
        <row r="35">
          <cell r="L35">
            <v>36.206699999999998</v>
          </cell>
          <cell r="M35">
            <v>36206.699999999997</v>
          </cell>
          <cell r="N35">
            <v>4.43</v>
          </cell>
        </row>
        <row r="36">
          <cell r="L36">
            <v>38.10615</v>
          </cell>
          <cell r="M36">
            <v>38106.15</v>
          </cell>
          <cell r="N36">
            <v>4.4400000000000004</v>
          </cell>
        </row>
        <row r="37">
          <cell r="L37">
            <v>40.005589999999998</v>
          </cell>
          <cell r="M37">
            <v>40005.589999999997</v>
          </cell>
          <cell r="N37">
            <v>4.58</v>
          </cell>
        </row>
        <row r="38">
          <cell r="L38">
            <v>41.905029999999996</v>
          </cell>
          <cell r="M38">
            <v>41905.03</v>
          </cell>
          <cell r="N38">
            <v>4.51</v>
          </cell>
        </row>
        <row r="39">
          <cell r="L39">
            <v>43.804470000000002</v>
          </cell>
          <cell r="M39">
            <v>43804.47</v>
          </cell>
          <cell r="N39">
            <v>4.54</v>
          </cell>
        </row>
        <row r="40">
          <cell r="L40">
            <v>45.70391</v>
          </cell>
          <cell r="M40">
            <v>45703.91</v>
          </cell>
          <cell r="N40">
            <v>4.41</v>
          </cell>
        </row>
        <row r="41">
          <cell r="L41">
            <v>47.603349999999999</v>
          </cell>
          <cell r="M41">
            <v>47603.35</v>
          </cell>
          <cell r="N41">
            <v>4.3499999999999996</v>
          </cell>
        </row>
        <row r="42">
          <cell r="L42">
            <v>49.502789999999997</v>
          </cell>
          <cell r="M42">
            <v>49502.79</v>
          </cell>
          <cell r="N42">
            <v>4.49</v>
          </cell>
        </row>
        <row r="43">
          <cell r="L43">
            <v>51.402230000000003</v>
          </cell>
          <cell r="M43">
            <v>51402.23</v>
          </cell>
          <cell r="N43">
            <v>4.13</v>
          </cell>
        </row>
        <row r="44">
          <cell r="L44">
            <v>53.301679999999998</v>
          </cell>
          <cell r="M44">
            <v>53301.68</v>
          </cell>
          <cell r="N44">
            <v>4.3499999999999996</v>
          </cell>
        </row>
        <row r="45">
          <cell r="L45">
            <v>55.201120000000003</v>
          </cell>
          <cell r="M45">
            <v>55201.120000000003</v>
          </cell>
          <cell r="N45">
            <v>4.5199999999999996</v>
          </cell>
        </row>
        <row r="46">
          <cell r="L46">
            <v>57.100560000000002</v>
          </cell>
          <cell r="M46">
            <v>57100.560000000005</v>
          </cell>
          <cell r="N46">
            <v>4.3499999999999996</v>
          </cell>
        </row>
        <row r="47">
          <cell r="L47">
            <v>59</v>
          </cell>
          <cell r="M47">
            <v>59000</v>
          </cell>
          <cell r="N47">
            <v>4.21</v>
          </cell>
        </row>
        <row r="48">
          <cell r="L48">
            <v>60.4</v>
          </cell>
          <cell r="M48">
            <v>60400</v>
          </cell>
          <cell r="N48">
            <v>4.32</v>
          </cell>
        </row>
        <row r="49">
          <cell r="L49">
            <v>63.2</v>
          </cell>
          <cell r="M49">
            <v>63200</v>
          </cell>
          <cell r="N49">
            <v>4.29</v>
          </cell>
        </row>
        <row r="50">
          <cell r="L50">
            <v>64.599999999999994</v>
          </cell>
          <cell r="M50">
            <v>64599.999999999993</v>
          </cell>
          <cell r="N50">
            <v>4.3</v>
          </cell>
        </row>
        <row r="51">
          <cell r="L51">
            <v>66</v>
          </cell>
          <cell r="M51">
            <v>66000</v>
          </cell>
          <cell r="N51">
            <v>4.3099999999999996</v>
          </cell>
        </row>
        <row r="52">
          <cell r="L52">
            <v>67.400000000000006</v>
          </cell>
          <cell r="M52">
            <v>67400</v>
          </cell>
          <cell r="N52">
            <v>4.26</v>
          </cell>
        </row>
        <row r="53">
          <cell r="L53">
            <v>68.8</v>
          </cell>
          <cell r="M53">
            <v>68800</v>
          </cell>
          <cell r="N53">
            <v>4.58</v>
          </cell>
        </row>
        <row r="54">
          <cell r="L54">
            <v>69.22</v>
          </cell>
          <cell r="M54">
            <v>69220</v>
          </cell>
          <cell r="N54">
            <v>4.32</v>
          </cell>
        </row>
        <row r="55">
          <cell r="L55">
            <v>70.2</v>
          </cell>
          <cell r="M55">
            <v>70200</v>
          </cell>
          <cell r="N55">
            <v>4.2</v>
          </cell>
        </row>
        <row r="56">
          <cell r="L56">
            <v>71.599999999999994</v>
          </cell>
          <cell r="M56">
            <v>71600</v>
          </cell>
          <cell r="N56">
            <v>4.21</v>
          </cell>
        </row>
        <row r="57">
          <cell r="L57">
            <v>73</v>
          </cell>
          <cell r="M57">
            <v>73000</v>
          </cell>
          <cell r="N57">
            <v>3.95</v>
          </cell>
        </row>
        <row r="58">
          <cell r="L58">
            <v>77.230770000000007</v>
          </cell>
          <cell r="M58">
            <v>77230.77</v>
          </cell>
          <cell r="N58">
            <v>3.77</v>
          </cell>
        </row>
        <row r="59">
          <cell r="L59">
            <v>81.038460000000001</v>
          </cell>
          <cell r="M59">
            <v>81038.460000000006</v>
          </cell>
          <cell r="N59">
            <v>3.61</v>
          </cell>
        </row>
        <row r="60">
          <cell r="L60">
            <v>86.538460000000001</v>
          </cell>
          <cell r="M60">
            <v>86538.46</v>
          </cell>
          <cell r="N60">
            <v>3.98</v>
          </cell>
        </row>
        <row r="61">
          <cell r="L61">
            <v>90.769229999999993</v>
          </cell>
          <cell r="M61">
            <v>90769.23</v>
          </cell>
          <cell r="N61">
            <v>4.0999999999999996</v>
          </cell>
        </row>
        <row r="62">
          <cell r="L62">
            <v>95</v>
          </cell>
          <cell r="M62">
            <v>95000</v>
          </cell>
          <cell r="N62">
            <v>3.89011</v>
          </cell>
        </row>
        <row r="63">
          <cell r="L63">
            <v>99.44444</v>
          </cell>
          <cell r="M63">
            <v>99444.44</v>
          </cell>
          <cell r="N63">
            <v>3.9142600000000001</v>
          </cell>
        </row>
        <row r="64">
          <cell r="L64">
            <v>103.88889</v>
          </cell>
          <cell r="M64">
            <v>103888.89</v>
          </cell>
          <cell r="N64">
            <v>3.8645999999999998</v>
          </cell>
        </row>
        <row r="65">
          <cell r="L65">
            <v>105</v>
          </cell>
          <cell r="M65">
            <v>105000</v>
          </cell>
          <cell r="N65">
            <v>3.99</v>
          </cell>
        </row>
        <row r="66">
          <cell r="L66">
            <v>105.73469</v>
          </cell>
          <cell r="M66">
            <v>105734.69</v>
          </cell>
          <cell r="N66">
            <v>3.99</v>
          </cell>
        </row>
        <row r="67">
          <cell r="L67">
            <v>106.22449</v>
          </cell>
          <cell r="M67">
            <v>106224.49</v>
          </cell>
          <cell r="N67">
            <v>3.7</v>
          </cell>
        </row>
        <row r="68">
          <cell r="L68">
            <v>106.55101999999999</v>
          </cell>
          <cell r="M68">
            <v>106551.01999999999</v>
          </cell>
          <cell r="N68">
            <v>3.87</v>
          </cell>
        </row>
        <row r="69">
          <cell r="L69">
            <v>107.28570999999999</v>
          </cell>
          <cell r="M69">
            <v>107285.70999999999</v>
          </cell>
          <cell r="N69">
            <v>4.09</v>
          </cell>
        </row>
        <row r="70">
          <cell r="L70">
            <v>107.85714</v>
          </cell>
          <cell r="M70">
            <v>107857.14</v>
          </cell>
          <cell r="N70">
            <v>4.0199999999999996</v>
          </cell>
        </row>
        <row r="71">
          <cell r="L71">
            <v>108.10204</v>
          </cell>
          <cell r="M71">
            <v>108102.04000000001</v>
          </cell>
          <cell r="N71">
            <v>4.04352</v>
          </cell>
        </row>
        <row r="72">
          <cell r="L72">
            <v>108.91837</v>
          </cell>
          <cell r="M72">
            <v>108918.37</v>
          </cell>
          <cell r="N72">
            <v>3.72</v>
          </cell>
        </row>
        <row r="73">
          <cell r="L73">
            <v>109.4898</v>
          </cell>
          <cell r="M73">
            <v>109489.8</v>
          </cell>
          <cell r="N73">
            <v>3.85453</v>
          </cell>
        </row>
        <row r="74">
          <cell r="L74">
            <v>109.73469</v>
          </cell>
          <cell r="M74">
            <v>109734.69</v>
          </cell>
          <cell r="N74">
            <v>3.91</v>
          </cell>
        </row>
        <row r="75">
          <cell r="L75">
            <v>110.55101999999999</v>
          </cell>
          <cell r="M75">
            <v>110551.01999999999</v>
          </cell>
          <cell r="N75">
            <v>3.6265900000000002</v>
          </cell>
        </row>
        <row r="76">
          <cell r="L76">
            <v>111.12245</v>
          </cell>
          <cell r="M76">
            <v>111122.45</v>
          </cell>
          <cell r="N76">
            <v>3.74</v>
          </cell>
        </row>
        <row r="77">
          <cell r="L77">
            <v>111.36735</v>
          </cell>
          <cell r="M77">
            <v>111367.35</v>
          </cell>
          <cell r="N77">
            <v>3.63</v>
          </cell>
        </row>
        <row r="78">
          <cell r="L78">
            <v>112.18367000000001</v>
          </cell>
          <cell r="M78">
            <v>112183.67000000001</v>
          </cell>
          <cell r="N78">
            <v>3.4784799999999998</v>
          </cell>
        </row>
        <row r="79">
          <cell r="L79">
            <v>113</v>
          </cell>
          <cell r="M79">
            <v>113000</v>
          </cell>
          <cell r="N79">
            <v>3.4456899999999999</v>
          </cell>
        </row>
        <row r="80">
          <cell r="L80">
            <v>114.02186</v>
          </cell>
          <cell r="M80">
            <v>114021.86</v>
          </cell>
          <cell r="N80">
            <v>3.3471199999999999</v>
          </cell>
        </row>
        <row r="81">
          <cell r="L81">
            <v>114.20219</v>
          </cell>
          <cell r="M81">
            <v>114202.19</v>
          </cell>
          <cell r="N81">
            <v>3.50251</v>
          </cell>
        </row>
        <row r="82">
          <cell r="L82">
            <v>114.80328</v>
          </cell>
          <cell r="M82">
            <v>114803.28</v>
          </cell>
          <cell r="N82">
            <v>3.36917</v>
          </cell>
        </row>
        <row r="83">
          <cell r="L83">
            <v>115.22404</v>
          </cell>
          <cell r="M83">
            <v>115224.04000000001</v>
          </cell>
          <cell r="N83">
            <v>3.35975</v>
          </cell>
        </row>
        <row r="84">
          <cell r="L84">
            <v>115.34426000000001</v>
          </cell>
          <cell r="M84">
            <v>115344.26000000001</v>
          </cell>
          <cell r="N84">
            <v>3.4226299999999998</v>
          </cell>
        </row>
        <row r="85">
          <cell r="L85">
            <v>116.42623</v>
          </cell>
          <cell r="M85">
            <v>116426.23000000001</v>
          </cell>
          <cell r="N85">
            <v>3.2290100000000002</v>
          </cell>
        </row>
        <row r="86">
          <cell r="L86">
            <v>116.72678000000001</v>
          </cell>
          <cell r="M86">
            <v>116726.78</v>
          </cell>
          <cell r="N86">
            <v>3.2405499999999998</v>
          </cell>
        </row>
        <row r="87">
          <cell r="L87">
            <v>117.32787</v>
          </cell>
          <cell r="M87">
            <v>117327.87000000001</v>
          </cell>
          <cell r="N87">
            <v>3.21</v>
          </cell>
        </row>
        <row r="88">
          <cell r="L88">
            <v>117.62842000000001</v>
          </cell>
          <cell r="M88">
            <v>117628.42000000001</v>
          </cell>
          <cell r="N88">
            <v>3.2479</v>
          </cell>
        </row>
        <row r="89">
          <cell r="L89">
            <v>117.92896</v>
          </cell>
          <cell r="M89">
            <v>117928.96000000001</v>
          </cell>
          <cell r="N89">
            <v>3.21</v>
          </cell>
        </row>
        <row r="90">
          <cell r="L90">
            <v>118.53005</v>
          </cell>
          <cell r="M90">
            <v>118530.05</v>
          </cell>
          <cell r="N90">
            <v>3.1</v>
          </cell>
        </row>
        <row r="91">
          <cell r="L91">
            <v>118.8306</v>
          </cell>
          <cell r="M91">
            <v>118830.6</v>
          </cell>
          <cell r="N91">
            <v>3.0813100000000002</v>
          </cell>
        </row>
        <row r="92">
          <cell r="L92">
            <v>119.07104</v>
          </cell>
          <cell r="M92">
            <v>119071.03999999999</v>
          </cell>
          <cell r="N92">
            <v>3.15</v>
          </cell>
        </row>
        <row r="93">
          <cell r="L93">
            <v>119.67213</v>
          </cell>
          <cell r="M93">
            <v>119672.12999999999</v>
          </cell>
          <cell r="N93">
            <v>2.94</v>
          </cell>
        </row>
        <row r="94">
          <cell r="L94">
            <v>120.03279000000001</v>
          </cell>
          <cell r="M94">
            <v>120032.79000000001</v>
          </cell>
          <cell r="N94">
            <v>3.12094</v>
          </cell>
        </row>
        <row r="95">
          <cell r="L95">
            <v>120.27321999999999</v>
          </cell>
          <cell r="M95">
            <v>120273.22</v>
          </cell>
          <cell r="N95">
            <v>3.06</v>
          </cell>
        </row>
        <row r="96">
          <cell r="L96">
            <v>120.87432</v>
          </cell>
          <cell r="M96">
            <v>120874.31999999999</v>
          </cell>
          <cell r="N96">
            <v>2.9609899999999998</v>
          </cell>
        </row>
        <row r="97">
          <cell r="L97">
            <v>121.23497</v>
          </cell>
          <cell r="M97">
            <v>121234.97</v>
          </cell>
          <cell r="N97">
            <v>3</v>
          </cell>
        </row>
        <row r="98">
          <cell r="L98">
            <v>121.47541</v>
          </cell>
          <cell r="M98">
            <v>121475.41</v>
          </cell>
          <cell r="N98">
            <v>3.14</v>
          </cell>
        </row>
        <row r="99">
          <cell r="L99">
            <v>122.13661</v>
          </cell>
          <cell r="M99">
            <v>122136.61</v>
          </cell>
          <cell r="N99">
            <v>3.04</v>
          </cell>
        </row>
        <row r="100">
          <cell r="L100">
            <v>122.43716000000001</v>
          </cell>
          <cell r="M100">
            <v>122437.16</v>
          </cell>
          <cell r="N100">
            <v>2.97</v>
          </cell>
        </row>
        <row r="101">
          <cell r="L101">
            <v>122.7377</v>
          </cell>
          <cell r="M101">
            <v>122737.7</v>
          </cell>
          <cell r="N101">
            <v>2.97</v>
          </cell>
        </row>
        <row r="102">
          <cell r="L102">
            <v>123.21858</v>
          </cell>
          <cell r="M102">
            <v>123218.58</v>
          </cell>
          <cell r="N102">
            <v>2.99</v>
          </cell>
        </row>
        <row r="103">
          <cell r="L103">
            <v>123.63934</v>
          </cell>
          <cell r="M103">
            <v>123639.34000000001</v>
          </cell>
          <cell r="N103">
            <v>3.16</v>
          </cell>
        </row>
        <row r="104">
          <cell r="L104">
            <v>124</v>
          </cell>
          <cell r="M104">
            <v>124000</v>
          </cell>
          <cell r="N104">
            <v>3.0404200000000001</v>
          </cell>
        </row>
        <row r="105">
          <cell r="L105">
            <v>124.81967</v>
          </cell>
          <cell r="M105">
            <v>124819.67</v>
          </cell>
          <cell r="N105">
            <v>3.0770200000000001</v>
          </cell>
        </row>
        <row r="106">
          <cell r="L106">
            <v>125.14754000000001</v>
          </cell>
          <cell r="M106">
            <v>125147.54000000001</v>
          </cell>
          <cell r="N106">
            <v>2.9739499999999999</v>
          </cell>
        </row>
        <row r="107">
          <cell r="L107">
            <v>125.63934</v>
          </cell>
          <cell r="M107">
            <v>125639.34000000001</v>
          </cell>
          <cell r="N107">
            <v>3.0429200000000001</v>
          </cell>
        </row>
        <row r="108">
          <cell r="L108">
            <v>126.45902</v>
          </cell>
          <cell r="M108">
            <v>126459.01999999999</v>
          </cell>
          <cell r="N108">
            <v>3.1804600000000001</v>
          </cell>
        </row>
        <row r="109">
          <cell r="L109">
            <v>126.78689</v>
          </cell>
          <cell r="M109">
            <v>126786.89</v>
          </cell>
          <cell r="N109">
            <v>3.0381499999999999</v>
          </cell>
        </row>
        <row r="110">
          <cell r="L110">
            <v>128.01639</v>
          </cell>
          <cell r="M110">
            <v>128016.39</v>
          </cell>
          <cell r="N110">
            <v>3.5349300000000001</v>
          </cell>
        </row>
        <row r="111">
          <cell r="L111">
            <v>128.42623</v>
          </cell>
          <cell r="M111">
            <v>128426.23000000001</v>
          </cell>
          <cell r="N111">
            <v>3.9203199999999998</v>
          </cell>
        </row>
        <row r="112">
          <cell r="L112">
            <v>129</v>
          </cell>
          <cell r="M112">
            <v>129000</v>
          </cell>
          <cell r="N112">
            <v>3.9</v>
          </cell>
        </row>
        <row r="113">
          <cell r="L113">
            <v>130.25581</v>
          </cell>
          <cell r="M113">
            <v>130255.81</v>
          </cell>
          <cell r="N113">
            <v>4.5571200000000003</v>
          </cell>
        </row>
        <row r="114">
          <cell r="L114">
            <v>130.81395000000001</v>
          </cell>
          <cell r="M114">
            <v>130813.95000000001</v>
          </cell>
          <cell r="N114">
            <v>4.67</v>
          </cell>
        </row>
        <row r="115">
          <cell r="L115">
            <v>131.79069999999999</v>
          </cell>
          <cell r="M115">
            <v>131790.69999999998</v>
          </cell>
          <cell r="N115">
            <v>4.79</v>
          </cell>
        </row>
        <row r="116">
          <cell r="L116">
            <v>132.62791000000001</v>
          </cell>
          <cell r="M116">
            <v>132627.91</v>
          </cell>
          <cell r="N116">
            <v>4.92</v>
          </cell>
        </row>
        <row r="117">
          <cell r="L117">
            <v>133.60464999999999</v>
          </cell>
          <cell r="M117">
            <v>133604.65</v>
          </cell>
          <cell r="N117">
            <v>4.96</v>
          </cell>
        </row>
        <row r="118">
          <cell r="L118">
            <v>135</v>
          </cell>
          <cell r="M118">
            <v>135000</v>
          </cell>
          <cell r="N118">
            <v>5.1622700000000004</v>
          </cell>
        </row>
        <row r="119">
          <cell r="L119">
            <v>136.82142999999999</v>
          </cell>
          <cell r="M119">
            <v>136821.43</v>
          </cell>
          <cell r="N119">
            <v>4.93</v>
          </cell>
        </row>
        <row r="120">
          <cell r="L120">
            <v>137.58036000000001</v>
          </cell>
          <cell r="M120">
            <v>137580.36000000002</v>
          </cell>
          <cell r="N120">
            <v>4.5881499999999997</v>
          </cell>
        </row>
        <row r="121">
          <cell r="L121">
            <v>138.64286000000001</v>
          </cell>
          <cell r="M121">
            <v>138642.86000000002</v>
          </cell>
          <cell r="N121">
            <v>4.8591899999999999</v>
          </cell>
        </row>
        <row r="122">
          <cell r="L122">
            <v>139.85713999999999</v>
          </cell>
          <cell r="M122">
            <v>139857.13999999998</v>
          </cell>
          <cell r="N122">
            <v>4.72</v>
          </cell>
        </row>
        <row r="123">
          <cell r="L123">
            <v>140.61607000000001</v>
          </cell>
          <cell r="M123">
            <v>140616.07</v>
          </cell>
          <cell r="N123">
            <v>4.8190499999999998</v>
          </cell>
        </row>
        <row r="124">
          <cell r="L124">
            <v>142.89286000000001</v>
          </cell>
          <cell r="M124">
            <v>142892.86000000002</v>
          </cell>
          <cell r="N124">
            <v>4.8976100000000002</v>
          </cell>
        </row>
        <row r="125">
          <cell r="L125">
            <v>144.10713999999999</v>
          </cell>
          <cell r="M125">
            <v>144107.13999999998</v>
          </cell>
          <cell r="N125">
            <v>4.7964099999999998</v>
          </cell>
        </row>
        <row r="126">
          <cell r="L126">
            <v>145.92857000000001</v>
          </cell>
          <cell r="M126">
            <v>145928.57</v>
          </cell>
          <cell r="N126">
            <v>5</v>
          </cell>
        </row>
        <row r="127">
          <cell r="L127">
            <v>147.14286000000001</v>
          </cell>
          <cell r="M127">
            <v>147142.86000000002</v>
          </cell>
          <cell r="N127">
            <v>4.7625200000000003</v>
          </cell>
        </row>
        <row r="128">
          <cell r="L128">
            <v>148.96429000000001</v>
          </cell>
          <cell r="M128">
            <v>148964.29</v>
          </cell>
          <cell r="N128">
            <v>4.9649999999999999</v>
          </cell>
        </row>
        <row r="129">
          <cell r="L129">
            <v>152</v>
          </cell>
          <cell r="M129">
            <v>152000</v>
          </cell>
          <cell r="N129">
            <v>5.21</v>
          </cell>
        </row>
        <row r="130">
          <cell r="L130">
            <v>153</v>
          </cell>
          <cell r="M130">
            <v>153000</v>
          </cell>
          <cell r="N130">
            <v>4.95</v>
          </cell>
        </row>
        <row r="131">
          <cell r="L131">
            <v>155</v>
          </cell>
          <cell r="M131">
            <v>155000</v>
          </cell>
          <cell r="N131">
            <v>4.95</v>
          </cell>
        </row>
        <row r="132">
          <cell r="L132">
            <v>156</v>
          </cell>
          <cell r="M132">
            <v>156000</v>
          </cell>
          <cell r="N132">
            <v>4.72</v>
          </cell>
        </row>
        <row r="133">
          <cell r="L133">
            <v>157</v>
          </cell>
          <cell r="M133">
            <v>157000</v>
          </cell>
          <cell r="N133">
            <v>4.7699999999999996</v>
          </cell>
        </row>
        <row r="134">
          <cell r="L134">
            <v>158</v>
          </cell>
          <cell r="M134">
            <v>158000</v>
          </cell>
          <cell r="N134">
            <v>5</v>
          </cell>
        </row>
        <row r="135">
          <cell r="L135">
            <v>159</v>
          </cell>
          <cell r="M135">
            <v>159000</v>
          </cell>
          <cell r="N135">
            <v>4.83</v>
          </cell>
        </row>
        <row r="136">
          <cell r="L136">
            <v>160</v>
          </cell>
          <cell r="M136">
            <v>160000</v>
          </cell>
          <cell r="N136">
            <v>4.29</v>
          </cell>
        </row>
        <row r="137">
          <cell r="L137">
            <v>161</v>
          </cell>
          <cell r="M137">
            <v>161000</v>
          </cell>
          <cell r="N137">
            <v>4.8899999999999997</v>
          </cell>
        </row>
        <row r="138">
          <cell r="L138">
            <v>162</v>
          </cell>
          <cell r="M138">
            <v>162000</v>
          </cell>
          <cell r="N138">
            <v>4.28</v>
          </cell>
        </row>
        <row r="139">
          <cell r="L139">
            <v>163</v>
          </cell>
          <cell r="M139">
            <v>163000</v>
          </cell>
          <cell r="N139">
            <v>4.43</v>
          </cell>
        </row>
        <row r="140">
          <cell r="L140">
            <v>164</v>
          </cell>
          <cell r="M140">
            <v>164000</v>
          </cell>
          <cell r="N140">
            <v>4.6399999999999997</v>
          </cell>
        </row>
        <row r="141">
          <cell r="L141">
            <v>165</v>
          </cell>
          <cell r="M141">
            <v>165000</v>
          </cell>
          <cell r="N141">
            <v>4.83</v>
          </cell>
        </row>
        <row r="142">
          <cell r="L142">
            <v>166</v>
          </cell>
          <cell r="M142">
            <v>166000</v>
          </cell>
          <cell r="N142">
            <v>4.5999999999999996</v>
          </cell>
        </row>
        <row r="143">
          <cell r="L143">
            <v>167</v>
          </cell>
          <cell r="M143">
            <v>167000</v>
          </cell>
          <cell r="N143">
            <v>4.88</v>
          </cell>
        </row>
        <row r="144">
          <cell r="L144">
            <v>168</v>
          </cell>
          <cell r="M144">
            <v>168000</v>
          </cell>
          <cell r="N144">
            <v>4.62</v>
          </cell>
        </row>
        <row r="145">
          <cell r="L145">
            <v>169</v>
          </cell>
          <cell r="M145">
            <v>169000</v>
          </cell>
          <cell r="N145">
            <v>4.6399999999999997</v>
          </cell>
        </row>
        <row r="146">
          <cell r="L146">
            <v>170</v>
          </cell>
          <cell r="M146">
            <v>170000</v>
          </cell>
          <cell r="N146">
            <v>4.67</v>
          </cell>
        </row>
      </sheetData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-sarlat"/>
      <sheetName val="vil1-GR-d13C-Ba"/>
      <sheetName val="vil1-GR-d13C-Y"/>
      <sheetName val="vil1-GR-d13C-U"/>
      <sheetName val="vil1-GR-d13C-Mg"/>
      <sheetName val="vil1-GR-d13C-Sr"/>
      <sheetName val="vil1-d18O-residu14C"/>
      <sheetName val="vil1-d18O-NAO 1000ans (3)"/>
      <sheetName val="vil1-d18O-NAO 1000ans (4)"/>
      <sheetName val="vil1-d18O-NAO 1000ans (2)"/>
      <sheetName val="vil1-d18O-NAO 1000ans"/>
      <sheetName val="vil1-d18O-NAO"/>
      <sheetName val="vil1-d18O-D14C"/>
      <sheetName val="vil1-GR-d18O"/>
      <sheetName val="vil1-NDG-d13C)"/>
      <sheetName val="vil1-NDG-d18O"/>
      <sheetName val="vil1-iso-mm"/>
      <sheetName val="vil1-time"/>
      <sheetName val="Vil1-Majeurs"/>
      <sheetName val="Vil1-FI"/>
      <sheetName val="vil1-GR-d13C"/>
      <sheetName val="Vil-stm1iso-2013"/>
      <sheetName val="Vil1-STAgeresukts-final-oct13"/>
      <sheetName val="Vil1-STAgeresults-R6b"/>
      <sheetName val="Vil-stm1iso-2009-old"/>
      <sheetName val="Stalagmite"/>
      <sheetName val="d18O-d13C"/>
      <sheetName val="RUN"/>
      <sheetName val="Vil1B"/>
      <sheetName val="V1-OC-1996"/>
      <sheetName val="Vil1-lamines"/>
      <sheetName val="V1-NDG"/>
      <sheetName val="RESIDUAL"/>
      <sheetName val="resid04_1000"/>
      <sheetName val="intcal04"/>
      <sheetName val="cru_nao"/>
      <sheetName val="NAO-jonesmannrogfig6b"/>
      <sheetName val="Proserpine"/>
      <sheetName val="MD99-227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O-13C-time+MD95"/>
      <sheetName val="13C-DO12"/>
      <sheetName val="DO-ageG"/>
      <sheetName val="DO-age"/>
      <sheetName val="13C-GRIP+Hulu (2)"/>
      <sheetName val="13C-GRIP+Hulu"/>
      <sheetName val="GR-time"/>
      <sheetName val="Temp. reconst"/>
      <sheetName val="GR-curve-SIMS"/>
      <sheetName val="Iso-GR-curve"/>
      <sheetName val="d13C-paleomag"/>
      <sheetName val="Photo"/>
      <sheetName val="0-C"/>
      <sheetName val="data-final-last"/>
      <sheetName val="Vil9SIMS-DO12"/>
      <sheetName val="data-final (P)"/>
      <sheetName val="13C-GRIP"/>
      <sheetName val="13C-GISP2"/>
      <sheetName val="18O-GISP2"/>
      <sheetName val="18O-13C-time (4)"/>
      <sheetName val="GR"/>
      <sheetName val="13C-GR"/>
      <sheetName val="GRIP-GISP"/>
      <sheetName val="iso-cm"/>
      <sheetName val="CO-cm"/>
      <sheetName val="data-final"/>
      <sheetName val="Fluo AB"/>
      <sheetName val="cm-D2-D3"/>
      <sheetName val="table calc T"/>
      <sheetName val="calc T"/>
      <sheetName val="equilO-C"/>
      <sheetName val="equil-OC-total (2)"/>
      <sheetName val="equil-OC-afterD4"/>
      <sheetName val="fig 5 - equil"/>
      <sheetName val="equil-OC-total"/>
      <sheetName val="d3-d4-iso"/>
      <sheetName val="data-final (d2-3)"/>
      <sheetName val="data-ordre"/>
      <sheetName val="Hulu"/>
      <sheetName val="MD95"/>
      <sheetName val="DSDP609"/>
      <sheetName val="SPECMAP"/>
      <sheetName val="GISP2+Blunier"/>
      <sheetName val="jafna-ss09-sea"/>
      <sheetName val="GRIP-d18O"/>
      <sheetName val="Vil1iso"/>
      <sheetName val="Vil4 (2)"/>
      <sheetName val="Vil#1B"/>
      <sheetName val="Vil#1A"/>
      <sheetName val="Vil1-top"/>
      <sheetName val="Vil4"/>
      <sheetName val="Vil5"/>
      <sheetName val="GR-curve"/>
      <sheetName val="Graph2"/>
      <sheetName val="data-final-last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8">
          <cell r="L8">
            <v>0</v>
          </cell>
          <cell r="N8">
            <v>3.12</v>
          </cell>
        </row>
        <row r="9">
          <cell r="L9">
            <v>0.85714000000000001</v>
          </cell>
          <cell r="M9">
            <v>857.14</v>
          </cell>
          <cell r="N9">
            <v>3.21</v>
          </cell>
        </row>
        <row r="10">
          <cell r="L10">
            <v>1.2857099999999999</v>
          </cell>
          <cell r="M10">
            <v>1285.7099999999998</v>
          </cell>
          <cell r="N10">
            <v>3.05</v>
          </cell>
        </row>
        <row r="11">
          <cell r="L11">
            <v>1.7142900000000001</v>
          </cell>
          <cell r="M11">
            <v>1714.2900000000002</v>
          </cell>
          <cell r="N11">
            <v>3.03</v>
          </cell>
        </row>
        <row r="12">
          <cell r="L12">
            <v>2.1428600000000002</v>
          </cell>
          <cell r="M12">
            <v>2142.86</v>
          </cell>
          <cell r="N12">
            <v>2.97</v>
          </cell>
        </row>
        <row r="13">
          <cell r="L13">
            <v>2.5714299999999999</v>
          </cell>
          <cell r="M13">
            <v>2571.4299999999998</v>
          </cell>
          <cell r="N13">
            <v>3.07</v>
          </cell>
        </row>
        <row r="14">
          <cell r="L14">
            <v>3</v>
          </cell>
          <cell r="M14">
            <v>3000</v>
          </cell>
          <cell r="N14">
            <v>2.9649999999999999</v>
          </cell>
        </row>
        <row r="15">
          <cell r="L15">
            <v>3.4285700000000001</v>
          </cell>
          <cell r="M15">
            <v>3428.57</v>
          </cell>
          <cell r="N15">
            <v>2.79</v>
          </cell>
        </row>
        <row r="16">
          <cell r="L16">
            <v>4.2857099999999999</v>
          </cell>
          <cell r="M16">
            <v>4285.71</v>
          </cell>
          <cell r="N16">
            <v>2.97</v>
          </cell>
        </row>
        <row r="17">
          <cell r="L17">
            <v>6</v>
          </cell>
          <cell r="M17">
            <v>6000</v>
          </cell>
          <cell r="N17">
            <v>2.97</v>
          </cell>
        </row>
        <row r="18">
          <cell r="L18">
            <v>6.8571400000000002</v>
          </cell>
          <cell r="M18">
            <v>6857.14</v>
          </cell>
          <cell r="N18">
            <v>2.97</v>
          </cell>
        </row>
        <row r="19">
          <cell r="L19">
            <v>7.7142900000000001</v>
          </cell>
          <cell r="M19">
            <v>7714.29</v>
          </cell>
          <cell r="N19">
            <v>2.84</v>
          </cell>
        </row>
        <row r="20">
          <cell r="L20">
            <v>8.5714299999999994</v>
          </cell>
          <cell r="M20">
            <v>8571.43</v>
          </cell>
          <cell r="N20">
            <v>2.95</v>
          </cell>
        </row>
        <row r="21">
          <cell r="L21">
            <v>9.4285700000000006</v>
          </cell>
          <cell r="M21">
            <v>9428.57</v>
          </cell>
          <cell r="N21">
            <v>3.24</v>
          </cell>
        </row>
        <row r="22">
          <cell r="L22">
            <v>10.28571</v>
          </cell>
          <cell r="M22">
            <v>10285.709999999999</v>
          </cell>
          <cell r="N22">
            <v>3.97</v>
          </cell>
        </row>
        <row r="23">
          <cell r="L23">
            <v>11.142860000000001</v>
          </cell>
          <cell r="M23">
            <v>11142.86</v>
          </cell>
          <cell r="N23">
            <v>3.69</v>
          </cell>
        </row>
        <row r="24">
          <cell r="L24">
            <v>12</v>
          </cell>
          <cell r="M24">
            <v>12000</v>
          </cell>
          <cell r="N24">
            <v>3.58</v>
          </cell>
        </row>
        <row r="25">
          <cell r="L25">
            <v>14.33333</v>
          </cell>
          <cell r="M25">
            <v>14333.33</v>
          </cell>
          <cell r="N25">
            <v>3.76</v>
          </cell>
        </row>
        <row r="26">
          <cell r="L26">
            <v>16.66667</v>
          </cell>
          <cell r="M26">
            <v>16666.669999999998</v>
          </cell>
          <cell r="N26">
            <v>4.34</v>
          </cell>
        </row>
        <row r="27">
          <cell r="L27">
            <v>19</v>
          </cell>
          <cell r="M27">
            <v>19000</v>
          </cell>
          <cell r="N27">
            <v>4.9400000000000004</v>
          </cell>
        </row>
        <row r="28">
          <cell r="L28">
            <v>20.2</v>
          </cell>
          <cell r="M28">
            <v>20200</v>
          </cell>
          <cell r="N28">
            <v>4.8</v>
          </cell>
        </row>
        <row r="29">
          <cell r="L29">
            <v>21.4</v>
          </cell>
          <cell r="M29">
            <v>21400</v>
          </cell>
          <cell r="N29">
            <v>4.9400000000000004</v>
          </cell>
        </row>
        <row r="30">
          <cell r="L30">
            <v>22.6</v>
          </cell>
          <cell r="M30">
            <v>22600</v>
          </cell>
          <cell r="N30">
            <v>4.91</v>
          </cell>
        </row>
        <row r="31">
          <cell r="L31">
            <v>23.8</v>
          </cell>
          <cell r="M31">
            <v>23800</v>
          </cell>
          <cell r="N31">
            <v>4.79</v>
          </cell>
        </row>
        <row r="32">
          <cell r="L32">
            <v>25</v>
          </cell>
          <cell r="M32">
            <v>25000</v>
          </cell>
          <cell r="N32">
            <v>4.67</v>
          </cell>
        </row>
        <row r="33">
          <cell r="L33">
            <v>28.79888</v>
          </cell>
          <cell r="M33">
            <v>28798.880000000001</v>
          </cell>
          <cell r="N33">
            <v>4.7699999999999996</v>
          </cell>
        </row>
        <row r="34">
          <cell r="L34">
            <v>30.698319999999999</v>
          </cell>
          <cell r="M34">
            <v>30698.32</v>
          </cell>
          <cell r="N34">
            <v>4.22</v>
          </cell>
        </row>
        <row r="35">
          <cell r="L35">
            <v>36.206699999999998</v>
          </cell>
          <cell r="M35">
            <v>36206.699999999997</v>
          </cell>
          <cell r="N35">
            <v>4.43</v>
          </cell>
        </row>
        <row r="36">
          <cell r="L36">
            <v>38.10615</v>
          </cell>
          <cell r="M36">
            <v>38106.15</v>
          </cell>
          <cell r="N36">
            <v>4.4400000000000004</v>
          </cell>
        </row>
        <row r="37">
          <cell r="L37">
            <v>40.005589999999998</v>
          </cell>
          <cell r="M37">
            <v>40005.589999999997</v>
          </cell>
          <cell r="N37">
            <v>4.58</v>
          </cell>
        </row>
        <row r="38">
          <cell r="L38">
            <v>41.905029999999996</v>
          </cell>
          <cell r="M38">
            <v>41905.03</v>
          </cell>
          <cell r="N38">
            <v>4.51</v>
          </cell>
        </row>
        <row r="39">
          <cell r="L39">
            <v>43.804470000000002</v>
          </cell>
          <cell r="M39">
            <v>43804.47</v>
          </cell>
          <cell r="N39">
            <v>4.54</v>
          </cell>
        </row>
        <row r="40">
          <cell r="L40">
            <v>45.70391</v>
          </cell>
          <cell r="M40">
            <v>45703.91</v>
          </cell>
          <cell r="N40">
            <v>4.41</v>
          </cell>
        </row>
        <row r="41">
          <cell r="L41">
            <v>47.603349999999999</v>
          </cell>
          <cell r="M41">
            <v>47603.35</v>
          </cell>
          <cell r="N41">
            <v>4.3499999999999996</v>
          </cell>
        </row>
        <row r="42">
          <cell r="L42">
            <v>49.502789999999997</v>
          </cell>
          <cell r="M42">
            <v>49502.79</v>
          </cell>
          <cell r="N42">
            <v>4.49</v>
          </cell>
        </row>
        <row r="43">
          <cell r="L43">
            <v>51.402230000000003</v>
          </cell>
          <cell r="M43">
            <v>51402.23</v>
          </cell>
          <cell r="N43">
            <v>4.13</v>
          </cell>
        </row>
        <row r="44">
          <cell r="L44">
            <v>53.301679999999998</v>
          </cell>
          <cell r="M44">
            <v>53301.68</v>
          </cell>
          <cell r="N44">
            <v>4.3499999999999996</v>
          </cell>
        </row>
        <row r="45">
          <cell r="L45">
            <v>55.201120000000003</v>
          </cell>
          <cell r="M45">
            <v>55201.120000000003</v>
          </cell>
          <cell r="N45">
            <v>4.5199999999999996</v>
          </cell>
        </row>
        <row r="46">
          <cell r="L46">
            <v>57.100560000000002</v>
          </cell>
          <cell r="M46">
            <v>57100.560000000005</v>
          </cell>
          <cell r="N46">
            <v>4.3499999999999996</v>
          </cell>
        </row>
        <row r="47">
          <cell r="L47">
            <v>59</v>
          </cell>
          <cell r="M47">
            <v>59000</v>
          </cell>
          <cell r="N47">
            <v>4.21</v>
          </cell>
        </row>
        <row r="48">
          <cell r="L48">
            <v>60.4</v>
          </cell>
          <cell r="M48">
            <v>60400</v>
          </cell>
          <cell r="N48">
            <v>4.32</v>
          </cell>
        </row>
        <row r="49">
          <cell r="L49">
            <v>63.2</v>
          </cell>
          <cell r="M49">
            <v>63200</v>
          </cell>
          <cell r="N49">
            <v>4.29</v>
          </cell>
        </row>
        <row r="50">
          <cell r="L50">
            <v>64.599999999999994</v>
          </cell>
          <cell r="M50">
            <v>64599.999999999993</v>
          </cell>
          <cell r="N50">
            <v>4.3</v>
          </cell>
        </row>
        <row r="51">
          <cell r="L51">
            <v>66</v>
          </cell>
          <cell r="M51">
            <v>66000</v>
          </cell>
          <cell r="N51">
            <v>4.3099999999999996</v>
          </cell>
        </row>
        <row r="52">
          <cell r="L52">
            <v>67.400000000000006</v>
          </cell>
          <cell r="M52">
            <v>67400</v>
          </cell>
          <cell r="N52">
            <v>4.26</v>
          </cell>
        </row>
        <row r="53">
          <cell r="L53">
            <v>68.8</v>
          </cell>
          <cell r="M53">
            <v>68800</v>
          </cell>
          <cell r="N53">
            <v>4.58</v>
          </cell>
        </row>
        <row r="54">
          <cell r="L54">
            <v>69.22</v>
          </cell>
          <cell r="M54">
            <v>69220</v>
          </cell>
          <cell r="N54">
            <v>4.32</v>
          </cell>
        </row>
        <row r="55">
          <cell r="L55">
            <v>70.2</v>
          </cell>
          <cell r="M55">
            <v>70200</v>
          </cell>
          <cell r="N55">
            <v>4.2</v>
          </cell>
        </row>
        <row r="56">
          <cell r="L56">
            <v>71.599999999999994</v>
          </cell>
          <cell r="M56">
            <v>71600</v>
          </cell>
          <cell r="N56">
            <v>4.21</v>
          </cell>
        </row>
        <row r="57">
          <cell r="L57">
            <v>73</v>
          </cell>
          <cell r="M57">
            <v>73000</v>
          </cell>
          <cell r="N57">
            <v>3.95</v>
          </cell>
        </row>
        <row r="58">
          <cell r="L58">
            <v>77.230770000000007</v>
          </cell>
          <cell r="M58">
            <v>77230.77</v>
          </cell>
          <cell r="N58">
            <v>3.77</v>
          </cell>
        </row>
        <row r="59">
          <cell r="L59">
            <v>81.038460000000001</v>
          </cell>
          <cell r="M59">
            <v>81038.460000000006</v>
          </cell>
          <cell r="N59">
            <v>3.61</v>
          </cell>
        </row>
        <row r="60">
          <cell r="L60">
            <v>86.538460000000001</v>
          </cell>
          <cell r="M60">
            <v>86538.46</v>
          </cell>
          <cell r="N60">
            <v>3.98</v>
          </cell>
        </row>
        <row r="61">
          <cell r="L61">
            <v>90.769229999999993</v>
          </cell>
          <cell r="M61">
            <v>90769.23</v>
          </cell>
          <cell r="N61">
            <v>4.0999999999999996</v>
          </cell>
        </row>
        <row r="62">
          <cell r="L62">
            <v>95</v>
          </cell>
          <cell r="M62">
            <v>95000</v>
          </cell>
          <cell r="N62">
            <v>3.89011</v>
          </cell>
        </row>
        <row r="63">
          <cell r="L63">
            <v>99.44444</v>
          </cell>
          <cell r="M63">
            <v>99444.44</v>
          </cell>
          <cell r="N63">
            <v>3.9142600000000001</v>
          </cell>
        </row>
        <row r="64">
          <cell r="L64">
            <v>103.88889</v>
          </cell>
          <cell r="M64">
            <v>103888.89</v>
          </cell>
          <cell r="N64">
            <v>3.8645999999999998</v>
          </cell>
        </row>
        <row r="65">
          <cell r="L65">
            <v>105</v>
          </cell>
          <cell r="M65">
            <v>105000</v>
          </cell>
          <cell r="N65">
            <v>3.99</v>
          </cell>
        </row>
        <row r="66">
          <cell r="L66">
            <v>105.73469</v>
          </cell>
          <cell r="M66">
            <v>105734.69</v>
          </cell>
          <cell r="N66">
            <v>3.99</v>
          </cell>
        </row>
        <row r="67">
          <cell r="L67">
            <v>106.22449</v>
          </cell>
          <cell r="M67">
            <v>106224.49</v>
          </cell>
          <cell r="N67">
            <v>3.7</v>
          </cell>
        </row>
        <row r="68">
          <cell r="L68">
            <v>106.55101999999999</v>
          </cell>
          <cell r="M68">
            <v>106551.01999999999</v>
          </cell>
          <cell r="N68">
            <v>3.87</v>
          </cell>
        </row>
        <row r="69">
          <cell r="L69">
            <v>107.28570999999999</v>
          </cell>
          <cell r="M69">
            <v>107285.70999999999</v>
          </cell>
          <cell r="N69">
            <v>4.09</v>
          </cell>
        </row>
        <row r="70">
          <cell r="L70">
            <v>107.85714</v>
          </cell>
          <cell r="M70">
            <v>107857.14</v>
          </cell>
          <cell r="N70">
            <v>4.0199999999999996</v>
          </cell>
        </row>
        <row r="71">
          <cell r="L71">
            <v>108.10204</v>
          </cell>
          <cell r="M71">
            <v>108102.04000000001</v>
          </cell>
          <cell r="N71">
            <v>4.04352</v>
          </cell>
        </row>
        <row r="72">
          <cell r="L72">
            <v>108.91837</v>
          </cell>
          <cell r="M72">
            <v>108918.37</v>
          </cell>
          <cell r="N72">
            <v>3.72</v>
          </cell>
        </row>
        <row r="73">
          <cell r="L73">
            <v>109.4898</v>
          </cell>
          <cell r="M73">
            <v>109489.8</v>
          </cell>
          <cell r="N73">
            <v>3.85453</v>
          </cell>
        </row>
        <row r="74">
          <cell r="L74">
            <v>109.73469</v>
          </cell>
          <cell r="M74">
            <v>109734.69</v>
          </cell>
          <cell r="N74">
            <v>3.91</v>
          </cell>
        </row>
        <row r="75">
          <cell r="L75">
            <v>110.55101999999999</v>
          </cell>
          <cell r="M75">
            <v>110551.01999999999</v>
          </cell>
          <cell r="N75">
            <v>3.6265900000000002</v>
          </cell>
        </row>
        <row r="76">
          <cell r="L76">
            <v>111.12245</v>
          </cell>
          <cell r="M76">
            <v>111122.45</v>
          </cell>
          <cell r="N76">
            <v>3.74</v>
          </cell>
        </row>
        <row r="77">
          <cell r="L77">
            <v>111.36735</v>
          </cell>
          <cell r="M77">
            <v>111367.35</v>
          </cell>
          <cell r="N77">
            <v>3.63</v>
          </cell>
        </row>
        <row r="78">
          <cell r="L78">
            <v>112.18367000000001</v>
          </cell>
          <cell r="M78">
            <v>112183.67000000001</v>
          </cell>
          <cell r="N78">
            <v>3.4784799999999998</v>
          </cell>
        </row>
        <row r="79">
          <cell r="L79">
            <v>113</v>
          </cell>
          <cell r="M79">
            <v>113000</v>
          </cell>
          <cell r="N79">
            <v>3.4456899999999999</v>
          </cell>
        </row>
        <row r="80">
          <cell r="L80">
            <v>114.02186</v>
          </cell>
          <cell r="M80">
            <v>114021.86</v>
          </cell>
          <cell r="N80">
            <v>3.3471199999999999</v>
          </cell>
        </row>
        <row r="81">
          <cell r="L81">
            <v>114.20219</v>
          </cell>
          <cell r="M81">
            <v>114202.19</v>
          </cell>
          <cell r="N81">
            <v>3.50251</v>
          </cell>
        </row>
        <row r="82">
          <cell r="L82">
            <v>114.80328</v>
          </cell>
          <cell r="M82">
            <v>114803.28</v>
          </cell>
          <cell r="N82">
            <v>3.36917</v>
          </cell>
        </row>
        <row r="83">
          <cell r="L83">
            <v>115.22404</v>
          </cell>
          <cell r="M83">
            <v>115224.04000000001</v>
          </cell>
          <cell r="N83">
            <v>3.35975</v>
          </cell>
        </row>
        <row r="84">
          <cell r="L84">
            <v>115.34426000000001</v>
          </cell>
          <cell r="M84">
            <v>115344.26000000001</v>
          </cell>
          <cell r="N84">
            <v>3.4226299999999998</v>
          </cell>
        </row>
        <row r="85">
          <cell r="L85">
            <v>116.42623</v>
          </cell>
          <cell r="M85">
            <v>116426.23000000001</v>
          </cell>
          <cell r="N85">
            <v>3.2290100000000002</v>
          </cell>
        </row>
        <row r="86">
          <cell r="L86">
            <v>116.72678000000001</v>
          </cell>
          <cell r="M86">
            <v>116726.78</v>
          </cell>
          <cell r="N86">
            <v>3.2405499999999998</v>
          </cell>
        </row>
        <row r="87">
          <cell r="L87">
            <v>117.32787</v>
          </cell>
          <cell r="M87">
            <v>117327.87000000001</v>
          </cell>
          <cell r="N87">
            <v>3.21</v>
          </cell>
        </row>
        <row r="88">
          <cell r="L88">
            <v>117.62842000000001</v>
          </cell>
          <cell r="M88">
            <v>117628.42000000001</v>
          </cell>
          <cell r="N88">
            <v>3.2479</v>
          </cell>
        </row>
        <row r="89">
          <cell r="L89">
            <v>117.92896</v>
          </cell>
          <cell r="M89">
            <v>117928.96000000001</v>
          </cell>
          <cell r="N89">
            <v>3.21</v>
          </cell>
        </row>
        <row r="90">
          <cell r="L90">
            <v>118.53005</v>
          </cell>
          <cell r="M90">
            <v>118530.05</v>
          </cell>
          <cell r="N90">
            <v>3.1</v>
          </cell>
        </row>
        <row r="91">
          <cell r="L91">
            <v>118.8306</v>
          </cell>
          <cell r="M91">
            <v>118830.6</v>
          </cell>
          <cell r="N91">
            <v>3.0813100000000002</v>
          </cell>
        </row>
        <row r="92">
          <cell r="L92">
            <v>119.07104</v>
          </cell>
          <cell r="M92">
            <v>119071.03999999999</v>
          </cell>
          <cell r="N92">
            <v>3.15</v>
          </cell>
        </row>
        <row r="93">
          <cell r="L93">
            <v>119.67213</v>
          </cell>
          <cell r="M93">
            <v>119672.12999999999</v>
          </cell>
          <cell r="N93">
            <v>2.94</v>
          </cell>
        </row>
        <row r="94">
          <cell r="L94">
            <v>120.03279000000001</v>
          </cell>
          <cell r="M94">
            <v>120032.79000000001</v>
          </cell>
          <cell r="N94">
            <v>3.12094</v>
          </cell>
        </row>
        <row r="95">
          <cell r="L95">
            <v>120.27321999999999</v>
          </cell>
          <cell r="M95">
            <v>120273.22</v>
          </cell>
          <cell r="N95">
            <v>3.06</v>
          </cell>
        </row>
        <row r="96">
          <cell r="L96">
            <v>120.87432</v>
          </cell>
          <cell r="M96">
            <v>120874.31999999999</v>
          </cell>
          <cell r="N96">
            <v>2.9609899999999998</v>
          </cell>
        </row>
        <row r="97">
          <cell r="L97">
            <v>121.23497</v>
          </cell>
          <cell r="M97">
            <v>121234.97</v>
          </cell>
          <cell r="N97">
            <v>3</v>
          </cell>
        </row>
        <row r="98">
          <cell r="L98">
            <v>121.47541</v>
          </cell>
          <cell r="M98">
            <v>121475.41</v>
          </cell>
          <cell r="N98">
            <v>3.14</v>
          </cell>
        </row>
        <row r="99">
          <cell r="L99">
            <v>122.13661</v>
          </cell>
          <cell r="M99">
            <v>122136.61</v>
          </cell>
          <cell r="N99">
            <v>3.04</v>
          </cell>
        </row>
        <row r="100">
          <cell r="L100">
            <v>122.43716000000001</v>
          </cell>
          <cell r="M100">
            <v>122437.16</v>
          </cell>
          <cell r="N100">
            <v>2.97</v>
          </cell>
        </row>
        <row r="101">
          <cell r="L101">
            <v>122.7377</v>
          </cell>
          <cell r="M101">
            <v>122737.7</v>
          </cell>
          <cell r="N101">
            <v>2.97</v>
          </cell>
        </row>
        <row r="102">
          <cell r="L102">
            <v>123.21858</v>
          </cell>
          <cell r="M102">
            <v>123218.58</v>
          </cell>
          <cell r="N102">
            <v>2.99</v>
          </cell>
        </row>
        <row r="103">
          <cell r="L103">
            <v>123.63934</v>
          </cell>
          <cell r="M103">
            <v>123639.34000000001</v>
          </cell>
          <cell r="N103">
            <v>3.16</v>
          </cell>
        </row>
        <row r="104">
          <cell r="L104">
            <v>124</v>
          </cell>
          <cell r="M104">
            <v>124000</v>
          </cell>
          <cell r="N104">
            <v>3.0404200000000001</v>
          </cell>
        </row>
        <row r="105">
          <cell r="L105">
            <v>124.81967</v>
          </cell>
          <cell r="M105">
            <v>124819.67</v>
          </cell>
          <cell r="N105">
            <v>3.0770200000000001</v>
          </cell>
        </row>
        <row r="106">
          <cell r="L106">
            <v>125.14754000000001</v>
          </cell>
          <cell r="M106">
            <v>125147.54000000001</v>
          </cell>
          <cell r="N106">
            <v>2.9739499999999999</v>
          </cell>
        </row>
        <row r="107">
          <cell r="L107">
            <v>125.63934</v>
          </cell>
          <cell r="M107">
            <v>125639.34000000001</v>
          </cell>
          <cell r="N107">
            <v>3.0429200000000001</v>
          </cell>
        </row>
        <row r="108">
          <cell r="L108">
            <v>126.45902</v>
          </cell>
          <cell r="M108">
            <v>126459.01999999999</v>
          </cell>
          <cell r="N108">
            <v>3.1804600000000001</v>
          </cell>
        </row>
        <row r="109">
          <cell r="L109">
            <v>126.78689</v>
          </cell>
          <cell r="M109">
            <v>126786.89</v>
          </cell>
          <cell r="N109">
            <v>3.0381499999999999</v>
          </cell>
        </row>
        <row r="110">
          <cell r="L110">
            <v>128.01639</v>
          </cell>
          <cell r="M110">
            <v>128016.39</v>
          </cell>
          <cell r="N110">
            <v>3.5349300000000001</v>
          </cell>
        </row>
        <row r="111">
          <cell r="L111">
            <v>128.42623</v>
          </cell>
          <cell r="M111">
            <v>128426.23000000001</v>
          </cell>
          <cell r="N111">
            <v>3.9203199999999998</v>
          </cell>
        </row>
        <row r="112">
          <cell r="L112">
            <v>129</v>
          </cell>
          <cell r="M112">
            <v>129000</v>
          </cell>
          <cell r="N112">
            <v>3.9</v>
          </cell>
        </row>
        <row r="113">
          <cell r="L113">
            <v>130.25581</v>
          </cell>
          <cell r="M113">
            <v>130255.81</v>
          </cell>
          <cell r="N113">
            <v>4.5571200000000003</v>
          </cell>
        </row>
        <row r="114">
          <cell r="L114">
            <v>130.81395000000001</v>
          </cell>
          <cell r="M114">
            <v>130813.95000000001</v>
          </cell>
          <cell r="N114">
            <v>4.67</v>
          </cell>
        </row>
        <row r="115">
          <cell r="L115">
            <v>131.79069999999999</v>
          </cell>
          <cell r="M115">
            <v>131790.69999999998</v>
          </cell>
          <cell r="N115">
            <v>4.79</v>
          </cell>
        </row>
        <row r="116">
          <cell r="L116">
            <v>132.62791000000001</v>
          </cell>
          <cell r="M116">
            <v>132627.91</v>
          </cell>
          <cell r="N116">
            <v>4.92</v>
          </cell>
        </row>
        <row r="117">
          <cell r="L117">
            <v>133.60464999999999</v>
          </cell>
          <cell r="M117">
            <v>133604.65</v>
          </cell>
          <cell r="N117">
            <v>4.96</v>
          </cell>
        </row>
        <row r="118">
          <cell r="L118">
            <v>135</v>
          </cell>
          <cell r="M118">
            <v>135000</v>
          </cell>
          <cell r="N118">
            <v>5.1622700000000004</v>
          </cell>
        </row>
        <row r="119">
          <cell r="L119">
            <v>136.82142999999999</v>
          </cell>
          <cell r="M119">
            <v>136821.43</v>
          </cell>
          <cell r="N119">
            <v>4.93</v>
          </cell>
        </row>
        <row r="120">
          <cell r="L120">
            <v>137.58036000000001</v>
          </cell>
          <cell r="M120">
            <v>137580.36000000002</v>
          </cell>
          <cell r="N120">
            <v>4.5881499999999997</v>
          </cell>
        </row>
        <row r="121">
          <cell r="L121">
            <v>138.64286000000001</v>
          </cell>
          <cell r="M121">
            <v>138642.86000000002</v>
          </cell>
          <cell r="N121">
            <v>4.8591899999999999</v>
          </cell>
        </row>
        <row r="122">
          <cell r="L122">
            <v>139.85713999999999</v>
          </cell>
          <cell r="M122">
            <v>139857.13999999998</v>
          </cell>
          <cell r="N122">
            <v>4.72</v>
          </cell>
        </row>
        <row r="123">
          <cell r="L123">
            <v>140.61607000000001</v>
          </cell>
          <cell r="M123">
            <v>140616.07</v>
          </cell>
          <cell r="N123">
            <v>4.8190499999999998</v>
          </cell>
        </row>
        <row r="124">
          <cell r="L124">
            <v>142.89286000000001</v>
          </cell>
          <cell r="M124">
            <v>142892.86000000002</v>
          </cell>
          <cell r="N124">
            <v>4.8976100000000002</v>
          </cell>
        </row>
        <row r="125">
          <cell r="L125">
            <v>144.10713999999999</v>
          </cell>
          <cell r="M125">
            <v>144107.13999999998</v>
          </cell>
          <cell r="N125">
            <v>4.7964099999999998</v>
          </cell>
        </row>
        <row r="126">
          <cell r="L126">
            <v>145.92857000000001</v>
          </cell>
          <cell r="M126">
            <v>145928.57</v>
          </cell>
          <cell r="N126">
            <v>5</v>
          </cell>
        </row>
        <row r="127">
          <cell r="L127">
            <v>147.14286000000001</v>
          </cell>
          <cell r="M127">
            <v>147142.86000000002</v>
          </cell>
          <cell r="N127">
            <v>4.7625200000000003</v>
          </cell>
        </row>
        <row r="128">
          <cell r="L128">
            <v>148.96429000000001</v>
          </cell>
          <cell r="M128">
            <v>148964.29</v>
          </cell>
          <cell r="N128">
            <v>4.9649999999999999</v>
          </cell>
        </row>
        <row r="129">
          <cell r="L129">
            <v>152</v>
          </cell>
          <cell r="M129">
            <v>152000</v>
          </cell>
          <cell r="N129">
            <v>5.21</v>
          </cell>
        </row>
        <row r="130">
          <cell r="L130">
            <v>153</v>
          </cell>
          <cell r="M130">
            <v>153000</v>
          </cell>
          <cell r="N130">
            <v>4.95</v>
          </cell>
        </row>
        <row r="131">
          <cell r="L131">
            <v>155</v>
          </cell>
          <cell r="M131">
            <v>155000</v>
          </cell>
          <cell r="N131">
            <v>4.95</v>
          </cell>
        </row>
        <row r="132">
          <cell r="L132">
            <v>156</v>
          </cell>
          <cell r="M132">
            <v>156000</v>
          </cell>
          <cell r="N132">
            <v>4.72</v>
          </cell>
        </row>
        <row r="133">
          <cell r="L133">
            <v>157</v>
          </cell>
          <cell r="M133">
            <v>157000</v>
          </cell>
          <cell r="N133">
            <v>4.7699999999999996</v>
          </cell>
        </row>
        <row r="134">
          <cell r="L134">
            <v>158</v>
          </cell>
          <cell r="M134">
            <v>158000</v>
          </cell>
          <cell r="N134">
            <v>5</v>
          </cell>
        </row>
        <row r="135">
          <cell r="L135">
            <v>159</v>
          </cell>
          <cell r="M135">
            <v>159000</v>
          </cell>
          <cell r="N135">
            <v>4.83</v>
          </cell>
        </row>
        <row r="136">
          <cell r="L136">
            <v>160</v>
          </cell>
          <cell r="M136">
            <v>160000</v>
          </cell>
          <cell r="N136">
            <v>4.29</v>
          </cell>
        </row>
        <row r="137">
          <cell r="L137">
            <v>161</v>
          </cell>
          <cell r="M137">
            <v>161000</v>
          </cell>
          <cell r="N137">
            <v>4.8899999999999997</v>
          </cell>
        </row>
        <row r="138">
          <cell r="L138">
            <v>162</v>
          </cell>
          <cell r="M138">
            <v>162000</v>
          </cell>
          <cell r="N138">
            <v>4.28</v>
          </cell>
        </row>
        <row r="139">
          <cell r="L139">
            <v>163</v>
          </cell>
          <cell r="M139">
            <v>163000</v>
          </cell>
          <cell r="N139">
            <v>4.43</v>
          </cell>
        </row>
        <row r="140">
          <cell r="L140">
            <v>164</v>
          </cell>
          <cell r="M140">
            <v>164000</v>
          </cell>
          <cell r="N140">
            <v>4.6399999999999997</v>
          </cell>
        </row>
        <row r="141">
          <cell r="L141">
            <v>165</v>
          </cell>
          <cell r="M141">
            <v>165000</v>
          </cell>
          <cell r="N141">
            <v>4.83</v>
          </cell>
        </row>
        <row r="142">
          <cell r="L142">
            <v>166</v>
          </cell>
          <cell r="M142">
            <v>166000</v>
          </cell>
          <cell r="N142">
            <v>4.5999999999999996</v>
          </cell>
        </row>
        <row r="143">
          <cell r="L143">
            <v>167</v>
          </cell>
          <cell r="M143">
            <v>167000</v>
          </cell>
          <cell r="N143">
            <v>4.88</v>
          </cell>
        </row>
        <row r="144">
          <cell r="L144">
            <v>168</v>
          </cell>
          <cell r="M144">
            <v>168000</v>
          </cell>
          <cell r="N144">
            <v>4.62</v>
          </cell>
        </row>
        <row r="145">
          <cell r="L145">
            <v>169</v>
          </cell>
          <cell r="M145">
            <v>169000</v>
          </cell>
          <cell r="N145">
            <v>4.6399999999999997</v>
          </cell>
        </row>
        <row r="146">
          <cell r="L146">
            <v>170</v>
          </cell>
          <cell r="M146">
            <v>170000</v>
          </cell>
          <cell r="N146">
            <v>4.67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N42"/>
  <sheetViews>
    <sheetView tabSelected="1" topLeftCell="AA13" workbookViewId="0">
      <selection activeCell="AN53" sqref="AN53"/>
    </sheetView>
  </sheetViews>
  <sheetFormatPr baseColWidth="10" defaultRowHeight="12.75" x14ac:dyDescent="0.2"/>
  <cols>
    <col min="1" max="1" width="11.42578125" customWidth="1"/>
    <col min="2" max="2" width="10.7109375" customWidth="1"/>
    <col min="3" max="3" width="7.85546875" style="111" customWidth="1"/>
    <col min="4" max="4" width="4.7109375" style="111" customWidth="1"/>
    <col min="5" max="5" width="3.85546875" customWidth="1"/>
    <col min="6" max="6" width="11.140625" style="107" customWidth="1"/>
    <col min="7" max="7" width="6.85546875" style="112" customWidth="1"/>
    <col min="8" max="8" width="19.85546875" style="113" customWidth="1"/>
    <col min="9" max="9" width="5.140625" customWidth="1"/>
    <col min="10" max="10" width="5.7109375" customWidth="1"/>
    <col min="11" max="11" width="4.7109375" customWidth="1"/>
    <col min="12" max="12" width="12.85546875" customWidth="1"/>
    <col min="13" max="13" width="4.7109375" customWidth="1"/>
    <col min="14" max="14" width="11.7109375" style="100" customWidth="1"/>
    <col min="15" max="15" width="4.7109375" customWidth="1"/>
    <col min="16" max="16" width="7.85546875" customWidth="1"/>
    <col min="17" max="17" width="15.5703125" style="101" customWidth="1"/>
    <col min="18" max="18" width="5.5703125" customWidth="1"/>
    <col min="19" max="19" width="5.28515625" customWidth="1"/>
    <col min="20" max="20" width="25.7109375" style="102" customWidth="1"/>
    <col min="21" max="21" width="5.5703125" style="103" customWidth="1"/>
    <col min="22" max="22" width="5.28515625" style="103" customWidth="1"/>
    <col min="23" max="23" width="8.42578125" style="102" customWidth="1"/>
    <col min="24" max="24" width="7.85546875" customWidth="1"/>
    <col min="25" max="25" width="19.28515625" customWidth="1"/>
    <col min="27" max="27" width="9.28515625" style="104" customWidth="1"/>
    <col min="28" max="28" width="4.7109375" style="105" customWidth="1"/>
    <col min="29" max="29" width="22.42578125" style="100" customWidth="1"/>
    <col min="30" max="30" width="7.7109375" customWidth="1"/>
    <col min="31" max="31" width="4.7109375" customWidth="1"/>
    <col min="32" max="32" width="7.85546875" customWidth="1"/>
    <col min="33" max="33" width="3.28515625" customWidth="1"/>
    <col min="34" max="34" width="28.28515625" customWidth="1"/>
    <col min="35" max="35" width="20.140625" style="106" customWidth="1"/>
    <col min="36" max="36" width="12.85546875" style="107" customWidth="1"/>
    <col min="37" max="37" width="7.85546875" style="108" customWidth="1"/>
    <col min="38" max="38" width="13.7109375" style="103" customWidth="1"/>
    <col min="39" max="39" width="16" style="103" customWidth="1"/>
    <col min="40" max="40" width="15.5703125" style="103" customWidth="1"/>
    <col min="41" max="41" width="8.42578125" style="109" customWidth="1"/>
    <col min="42" max="42" width="11.140625" customWidth="1"/>
    <col min="43" max="43" width="5.140625" customWidth="1"/>
    <col min="44" max="44" width="7.7109375" style="110" customWidth="1"/>
    <col min="45" max="45" width="10" style="106" customWidth="1"/>
    <col min="46" max="46" width="5.7109375" style="106" customWidth="1"/>
    <col min="47" max="47" width="7.85546875" customWidth="1"/>
    <col min="48" max="48" width="14.140625" customWidth="1"/>
    <col min="49" max="49" width="4.7109375" customWidth="1"/>
    <col min="50" max="50" width="17.140625" customWidth="1"/>
    <col min="51" max="51" width="17.85546875" customWidth="1"/>
    <col min="52" max="52" width="18.28515625" customWidth="1"/>
    <col min="53" max="53" width="19.42578125" customWidth="1"/>
    <col min="54" max="54" width="7.85546875" customWidth="1"/>
    <col min="55" max="55" width="20.5703125" customWidth="1"/>
    <col min="56" max="56" width="15.28515625" customWidth="1"/>
    <col min="57" max="57" width="11.7109375" customWidth="1"/>
    <col min="58" max="58" width="7.7109375" customWidth="1"/>
    <col min="59" max="59" width="7.85546875" customWidth="1"/>
    <col min="60" max="60" width="5.7109375" customWidth="1"/>
    <col min="61" max="62" width="9.28515625" style="106" customWidth="1"/>
    <col min="63" max="63" width="10" customWidth="1"/>
    <col min="64" max="65" width="10.140625" customWidth="1"/>
    <col min="66" max="66" width="9.7109375" customWidth="1"/>
    <col min="67" max="67" width="5.42578125" customWidth="1"/>
    <col min="68" max="68" width="9.28515625" customWidth="1"/>
    <col min="70" max="70" width="16.7109375" customWidth="1"/>
    <col min="71" max="71" width="18.28515625" customWidth="1"/>
    <col min="72" max="72" width="19.42578125" customWidth="1"/>
    <col min="73" max="73" width="7.85546875" customWidth="1"/>
    <col min="74" max="75" width="20.5703125" customWidth="1"/>
    <col min="76" max="76" width="12.42578125" customWidth="1"/>
    <col min="77" max="77" width="13.7109375" customWidth="1"/>
    <col min="78" max="78" width="8.5703125" customWidth="1"/>
    <col min="79" max="80" width="9.7109375" customWidth="1"/>
    <col min="81" max="81" width="13.85546875" customWidth="1"/>
    <col min="82" max="82" width="11" customWidth="1"/>
    <col min="83" max="83" width="20.140625" customWidth="1"/>
    <col min="84" max="84" width="23.5703125" customWidth="1"/>
    <col min="85" max="85" width="17.42578125" customWidth="1"/>
    <col min="86" max="86" width="14.28515625" customWidth="1"/>
    <col min="87" max="87" width="8" customWidth="1"/>
    <col min="89" max="89" width="13.7109375" customWidth="1"/>
    <col min="90" max="90" width="28.28515625" customWidth="1"/>
    <col min="91" max="91" width="17.42578125" customWidth="1"/>
    <col min="92" max="92" width="12.7109375" customWidth="1"/>
  </cols>
  <sheetData>
    <row r="1" spans="1:92" s="1" customFormat="1" ht="11.25" x14ac:dyDescent="0.2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4" t="s">
        <v>6</v>
      </c>
      <c r="H1" s="5" t="s">
        <v>7</v>
      </c>
      <c r="I1" s="1" t="s">
        <v>6</v>
      </c>
      <c r="J1" s="1" t="s">
        <v>8</v>
      </c>
      <c r="K1" s="1" t="s">
        <v>3</v>
      </c>
      <c r="L1" s="1" t="s">
        <v>9</v>
      </c>
      <c r="M1" s="1" t="s">
        <v>3</v>
      </c>
      <c r="N1" s="6" t="s">
        <v>10</v>
      </c>
      <c r="O1" s="1" t="s">
        <v>3</v>
      </c>
      <c r="P1" s="3" t="str">
        <f>C1</f>
        <v>mm/top</v>
      </c>
      <c r="Q1" s="7" t="s">
        <v>11</v>
      </c>
      <c r="R1" s="1" t="s">
        <v>12</v>
      </c>
      <c r="S1" s="1" t="s">
        <v>13</v>
      </c>
      <c r="T1" s="8" t="s">
        <v>14</v>
      </c>
      <c r="U1" s="1" t="s">
        <v>12</v>
      </c>
      <c r="V1" s="1" t="s">
        <v>13</v>
      </c>
      <c r="W1" s="8" t="s">
        <v>15</v>
      </c>
      <c r="X1" s="3" t="str">
        <f>C1</f>
        <v>mm/top</v>
      </c>
      <c r="Y1" s="3" t="s">
        <v>16</v>
      </c>
      <c r="Z1" s="7" t="s">
        <v>17</v>
      </c>
      <c r="AA1" s="8" t="s">
        <v>18</v>
      </c>
      <c r="AB1" s="2" t="s">
        <v>3</v>
      </c>
      <c r="AC1" s="6" t="str">
        <f>H1</f>
        <v>Conv. 14C age / year BP</v>
      </c>
      <c r="AD1" s="6" t="str">
        <f>I1</f>
        <v xml:space="preserve">error </v>
      </c>
      <c r="AF1" s="3" t="str">
        <f>C1</f>
        <v>mm/top</v>
      </c>
      <c r="AH1" s="1" t="s">
        <v>19</v>
      </c>
      <c r="AI1" s="1" t="s">
        <v>20</v>
      </c>
      <c r="AJ1" s="9" t="s">
        <v>21</v>
      </c>
      <c r="AK1" s="10" t="s">
        <v>22</v>
      </c>
      <c r="AL1" s="11" t="s">
        <v>23</v>
      </c>
      <c r="AM1" s="11" t="s">
        <v>24</v>
      </c>
      <c r="AN1" s="12" t="s">
        <v>25</v>
      </c>
      <c r="AO1" s="13" t="s">
        <v>8</v>
      </c>
      <c r="AP1" s="1" t="s">
        <v>5</v>
      </c>
      <c r="AQ1" s="1" t="s">
        <v>6</v>
      </c>
      <c r="AR1" s="14" t="s">
        <v>26</v>
      </c>
      <c r="AS1" s="15" t="s">
        <v>27</v>
      </c>
      <c r="AT1" s="15"/>
      <c r="AU1" s="3" t="s">
        <v>2</v>
      </c>
      <c r="AV1" s="1" t="s">
        <v>28</v>
      </c>
      <c r="AW1" s="1" t="s">
        <v>3</v>
      </c>
      <c r="AX1" s="1" t="s">
        <v>29</v>
      </c>
      <c r="AZ1" s="1" t="s">
        <v>30</v>
      </c>
      <c r="BA1" s="1" t="s">
        <v>31</v>
      </c>
      <c r="BB1" s="3" t="s">
        <v>32</v>
      </c>
      <c r="BC1" s="1" t="s">
        <v>33</v>
      </c>
      <c r="BD1" s="1" t="s">
        <v>34</v>
      </c>
      <c r="BE1" s="1" t="s">
        <v>35</v>
      </c>
      <c r="BF1" s="1" t="s">
        <v>36</v>
      </c>
      <c r="BG1" s="3" t="s">
        <v>32</v>
      </c>
      <c r="BH1" s="3" t="s">
        <v>8</v>
      </c>
      <c r="BI1" s="1" t="s">
        <v>37</v>
      </c>
      <c r="BJ1" s="1" t="s">
        <v>3</v>
      </c>
      <c r="BK1" s="1" t="s">
        <v>38</v>
      </c>
      <c r="BL1" s="1" t="s">
        <v>39</v>
      </c>
      <c r="BM1" s="1" t="s">
        <v>40</v>
      </c>
      <c r="BN1" s="3" t="s">
        <v>41</v>
      </c>
      <c r="BR1" s="11" t="s">
        <v>42</v>
      </c>
      <c r="BS1" s="1" t="s">
        <v>30</v>
      </c>
      <c r="BT1" s="1" t="s">
        <v>31</v>
      </c>
      <c r="BU1" s="3" t="s">
        <v>32</v>
      </c>
      <c r="BV1" s="1" t="s">
        <v>33</v>
      </c>
      <c r="CD1" s="16"/>
    </row>
    <row r="2" spans="1:92" s="9" customFormat="1" ht="11.25" x14ac:dyDescent="0.2">
      <c r="A2" s="9" t="s">
        <v>43</v>
      </c>
      <c r="B2" s="9" t="s">
        <v>44</v>
      </c>
      <c r="C2" s="17">
        <v>3</v>
      </c>
      <c r="D2" s="17">
        <v>1</v>
      </c>
      <c r="E2" s="9">
        <v>22.5</v>
      </c>
      <c r="F2" s="9">
        <v>96.64</v>
      </c>
      <c r="G2" s="18">
        <v>1</v>
      </c>
      <c r="H2" s="19">
        <f>-8033*LN(F2/100)</f>
        <v>274.54747032214442</v>
      </c>
      <c r="J2" s="9">
        <v>9.4</v>
      </c>
      <c r="K2" s="9">
        <v>1.5</v>
      </c>
      <c r="L2" s="20">
        <f t="shared" ref="L2:L24" si="0">F2/((100-J2)/100)</f>
        <v>106.66666666666667</v>
      </c>
      <c r="M2" s="20">
        <f>G2+K2</f>
        <v>2.5</v>
      </c>
      <c r="N2" s="5"/>
      <c r="O2" s="21"/>
      <c r="P2" s="9">
        <f t="shared" ref="P2:P24" si="1">C2</f>
        <v>3</v>
      </c>
      <c r="Q2" s="3">
        <v>1990</v>
      </c>
      <c r="R2" s="22">
        <v>1989</v>
      </c>
      <c r="S2" s="22">
        <v>1991</v>
      </c>
      <c r="T2" s="2">
        <f>2000-Q2</f>
        <v>10</v>
      </c>
      <c r="U2" s="3">
        <f>(1990-R2)</f>
        <v>1</v>
      </c>
      <c r="V2" s="3">
        <f>(1990-S2)</f>
        <v>-1</v>
      </c>
      <c r="W2" s="2">
        <f>ABS(U2-V2)/2</f>
        <v>1</v>
      </c>
      <c r="X2" s="9">
        <f t="shared" ref="X2:X24" si="2">C2</f>
        <v>3</v>
      </c>
      <c r="Y2" s="9">
        <f>3*0.0000000000001*P2^5</f>
        <v>7.2900000000000015E-11</v>
      </c>
      <c r="AA2" s="2">
        <f>T2</f>
        <v>10</v>
      </c>
      <c r="AB2" s="17">
        <v>1</v>
      </c>
      <c r="AC2" s="6">
        <f t="shared" ref="AC2:AD24" si="3">H2</f>
        <v>274.54747032214442</v>
      </c>
      <c r="AD2" s="6">
        <f t="shared" si="3"/>
        <v>0</v>
      </c>
      <c r="AF2" s="9">
        <f t="shared" ref="AF2:AF25" si="4">C2</f>
        <v>3</v>
      </c>
      <c r="AH2" s="1" t="s">
        <v>45</v>
      </c>
      <c r="AI2" s="3"/>
      <c r="AL2" s="3"/>
      <c r="AM2" s="3"/>
      <c r="AN2" s="3"/>
      <c r="AO2" s="23"/>
      <c r="AP2" s="9">
        <v>96.64</v>
      </c>
      <c r="AQ2" s="20">
        <v>1</v>
      </c>
      <c r="AR2" s="24"/>
      <c r="AS2" s="3"/>
      <c r="AT2" s="3"/>
      <c r="AU2" s="9">
        <v>3</v>
      </c>
      <c r="BB2" s="9">
        <v>108.7</v>
      </c>
      <c r="BD2" s="9">
        <v>0</v>
      </c>
      <c r="BE2" s="9">
        <v>1990</v>
      </c>
      <c r="BF2" s="9" t="s">
        <v>43</v>
      </c>
      <c r="BG2" s="9">
        <v>108.7</v>
      </c>
      <c r="BH2" s="9">
        <v>0</v>
      </c>
      <c r="BI2" s="25">
        <v>2</v>
      </c>
      <c r="BJ2" s="25">
        <v>2</v>
      </c>
      <c r="BK2" s="9">
        <v>-8.8699999999999992</v>
      </c>
      <c r="BL2" s="9">
        <v>-4.76</v>
      </c>
      <c r="BM2" s="9">
        <v>0.1</v>
      </c>
      <c r="BN2" s="9">
        <f>5730/LN(2)*LN((100-BH2)/100)</f>
        <v>0</v>
      </c>
      <c r="BR2" s="26"/>
      <c r="BU2" s="9">
        <v>108.7</v>
      </c>
      <c r="BW2" s="3"/>
      <c r="BX2" s="3"/>
      <c r="BY2" s="27"/>
      <c r="BZ2" s="24"/>
      <c r="CA2" s="28"/>
      <c r="CB2" s="10"/>
      <c r="CC2" s="29"/>
      <c r="CD2" s="16"/>
      <c r="CE2" s="30"/>
      <c r="CF2" s="24"/>
      <c r="CG2" s="30"/>
      <c r="CH2" s="30"/>
      <c r="CI2" s="31"/>
      <c r="CL2" s="24"/>
      <c r="CM2" s="30"/>
      <c r="CN2" s="31"/>
    </row>
    <row r="3" spans="1:92" s="9" customFormat="1" ht="11.25" x14ac:dyDescent="0.2">
      <c r="A3" s="9" t="s">
        <v>46</v>
      </c>
      <c r="B3" s="9" t="s">
        <v>47</v>
      </c>
      <c r="C3" s="17">
        <v>28</v>
      </c>
      <c r="D3" s="17">
        <v>1</v>
      </c>
      <c r="E3" s="9">
        <v>12.2</v>
      </c>
      <c r="F3" s="9">
        <v>86.54</v>
      </c>
      <c r="G3" s="18">
        <v>0.9</v>
      </c>
      <c r="H3" s="19">
        <f t="shared" ref="H3:H24" si="5">-8033*LN(F3/100)</f>
        <v>1161.2782034201352</v>
      </c>
      <c r="J3" s="9">
        <v>9.4</v>
      </c>
      <c r="K3" s="9">
        <v>1.5</v>
      </c>
      <c r="L3" s="20">
        <f t="shared" si="0"/>
        <v>95.518763796909511</v>
      </c>
      <c r="M3" s="20">
        <f t="shared" ref="M3:M24" si="6">G3+K3</f>
        <v>2.4</v>
      </c>
      <c r="N3" s="5">
        <f t="shared" ref="N3:N24" si="7">-8033*LN(L3/100)</f>
        <v>368.29279279988015</v>
      </c>
      <c r="O3" s="21">
        <f t="shared" ref="O3:O24" si="8">(8033*LN((L3+M3)/100) - 8033*LN((L3-M3)/100))/2</f>
        <v>201.87927318378843</v>
      </c>
      <c r="P3" s="9">
        <f t="shared" si="1"/>
        <v>28</v>
      </c>
      <c r="Q3" s="3">
        <v>1942</v>
      </c>
      <c r="R3" s="22"/>
      <c r="S3" s="22"/>
      <c r="T3" s="2">
        <f>2000-Q3</f>
        <v>58</v>
      </c>
      <c r="U3" s="3">
        <v>2</v>
      </c>
      <c r="V3" s="3">
        <v>-2</v>
      </c>
      <c r="W3" s="2">
        <f>ABS(U3-V3)/2</f>
        <v>2</v>
      </c>
      <c r="X3" s="9">
        <f t="shared" si="2"/>
        <v>28</v>
      </c>
      <c r="AA3" s="2">
        <f>T3</f>
        <v>58</v>
      </c>
      <c r="AB3" s="17">
        <v>2</v>
      </c>
      <c r="AC3" s="6">
        <f t="shared" si="3"/>
        <v>1161.2782034201352</v>
      </c>
      <c r="AD3" s="6">
        <f t="shared" si="3"/>
        <v>0</v>
      </c>
      <c r="AF3" s="9">
        <f t="shared" si="4"/>
        <v>28</v>
      </c>
      <c r="AH3" s="3">
        <f>T3-50</f>
        <v>8</v>
      </c>
      <c r="AI3" s="3"/>
      <c r="AJ3" s="32">
        <v>-21</v>
      </c>
      <c r="AK3" s="32">
        <v>1</v>
      </c>
      <c r="AL3" s="9">
        <f>(AJ3)/10+100</f>
        <v>97.9</v>
      </c>
      <c r="AM3" s="32">
        <f>AK3/10</f>
        <v>0.1</v>
      </c>
      <c r="AN3" s="33">
        <f>F3/EXP(-(LN(2)/5730)*(AA3))</f>
        <v>87.149312589860443</v>
      </c>
      <c r="AO3" s="34">
        <f>(1-(AN3/AL3))*100</f>
        <v>10.981294596669622</v>
      </c>
      <c r="AP3" s="32">
        <v>86.54</v>
      </c>
      <c r="AQ3" s="35">
        <v>0.9</v>
      </c>
      <c r="AR3" s="36">
        <f>AN3*(AQ3/AP3+AB3/AA3)</f>
        <v>3.9114854482766117</v>
      </c>
      <c r="AS3" s="37">
        <f>AR3+AM3</f>
        <v>4.0114854482766118</v>
      </c>
      <c r="AT3" s="3"/>
      <c r="AU3" s="9">
        <v>28</v>
      </c>
      <c r="BB3" s="9">
        <v>108.7</v>
      </c>
      <c r="BC3" s="9">
        <v>0.49</v>
      </c>
      <c r="BD3" s="9">
        <v>51</v>
      </c>
      <c r="BE3" s="9">
        <f>1990-BD3</f>
        <v>1939</v>
      </c>
      <c r="BF3" s="9" t="s">
        <v>46</v>
      </c>
      <c r="BG3" s="9">
        <v>106.2</v>
      </c>
      <c r="BH3" s="9">
        <f>BH2+1</f>
        <v>1</v>
      </c>
      <c r="BI3" s="25">
        <v>60</v>
      </c>
      <c r="BJ3" s="25">
        <v>3</v>
      </c>
      <c r="BK3" s="9">
        <v>-8.6300000000000008</v>
      </c>
      <c r="BL3" s="9">
        <v>-5.09</v>
      </c>
      <c r="BM3" s="9">
        <v>0.1</v>
      </c>
      <c r="BN3" s="9">
        <f t="shared" ref="BN3:BN30" si="9">5730/LN(2)*LN((100-BH3)/100)</f>
        <v>-83.082534353009464</v>
      </c>
      <c r="BO3" s="9" t="s">
        <v>48</v>
      </c>
      <c r="BR3" s="26">
        <f>(O3-I3)*100/O3</f>
        <v>100</v>
      </c>
      <c r="BU3" s="9">
        <v>106.2</v>
      </c>
      <c r="BV3" s="9">
        <v>0.49</v>
      </c>
      <c r="BW3" s="3"/>
      <c r="BX3" s="3"/>
      <c r="BY3" s="27"/>
      <c r="CC3" s="29"/>
      <c r="CD3" s="29"/>
      <c r="CE3" s="30"/>
      <c r="CF3" s="24"/>
      <c r="CG3" s="30"/>
      <c r="CH3" s="27"/>
      <c r="CI3" s="31"/>
      <c r="CL3" s="24"/>
      <c r="CM3" s="30"/>
      <c r="CN3" s="31"/>
    </row>
    <row r="4" spans="1:92" s="9" customFormat="1" ht="11.25" x14ac:dyDescent="0.2">
      <c r="A4" s="38" t="s">
        <v>49</v>
      </c>
      <c r="B4" s="38" t="s">
        <v>50</v>
      </c>
      <c r="C4" s="17">
        <v>31</v>
      </c>
      <c r="D4" s="17">
        <v>1</v>
      </c>
      <c r="F4" s="38">
        <v>88.51</v>
      </c>
      <c r="G4" s="18">
        <v>0.5</v>
      </c>
      <c r="H4" s="19">
        <f t="shared" si="5"/>
        <v>980.46497137668746</v>
      </c>
      <c r="J4" s="9">
        <v>9.4</v>
      </c>
      <c r="K4" s="9">
        <v>1.5</v>
      </c>
      <c r="L4" s="20">
        <f t="shared" si="0"/>
        <v>97.69315673289185</v>
      </c>
      <c r="M4" s="20">
        <f t="shared" si="6"/>
        <v>2</v>
      </c>
      <c r="N4" s="5">
        <f t="shared" si="7"/>
        <v>187.47956075643197</v>
      </c>
      <c r="O4" s="21">
        <f>(8033*LN((L4+M4)/100) - 8033*LN((L4-M4)/100))/2</f>
        <v>164.47666955119936</v>
      </c>
      <c r="P4" s="9">
        <f>C4</f>
        <v>31</v>
      </c>
      <c r="Q4" s="3">
        <v>1938</v>
      </c>
      <c r="R4" s="22"/>
      <c r="S4" s="22"/>
      <c r="T4" s="2">
        <f>2000-Q4</f>
        <v>62</v>
      </c>
      <c r="U4" s="3">
        <v>2</v>
      </c>
      <c r="V4" s="3">
        <v>-2</v>
      </c>
      <c r="W4" s="2">
        <f>ABS(U4-V4)/2</f>
        <v>2</v>
      </c>
      <c r="X4" s="9">
        <f t="shared" si="2"/>
        <v>31</v>
      </c>
      <c r="AA4" s="2">
        <f>T4</f>
        <v>62</v>
      </c>
      <c r="AB4" s="17">
        <v>2</v>
      </c>
      <c r="AC4" s="6"/>
      <c r="AD4" s="6"/>
      <c r="AF4" s="9">
        <f t="shared" si="4"/>
        <v>31</v>
      </c>
      <c r="AH4" s="3">
        <f>T4-50</f>
        <v>12</v>
      </c>
      <c r="AI4" s="3"/>
      <c r="AJ4" s="32">
        <v>-19</v>
      </c>
      <c r="AK4" s="32">
        <v>1</v>
      </c>
      <c r="AL4" s="9">
        <f>(AJ4)/10+100</f>
        <v>98.1</v>
      </c>
      <c r="AM4" s="32">
        <f>AK4/10</f>
        <v>0.1</v>
      </c>
      <c r="AN4" s="33">
        <f>F4/EXP(-(LN(2)/5730)*(AA4))</f>
        <v>89.176322527208328</v>
      </c>
      <c r="AO4" s="34">
        <f>(1-(AN4/AL4))*100</f>
        <v>9.0965111853126057</v>
      </c>
      <c r="AP4" s="32">
        <v>86.54</v>
      </c>
      <c r="AQ4" s="35">
        <v>0.9</v>
      </c>
      <c r="AR4" s="36">
        <f>AN4*(AQ4/AP4+AB4/AA4)</f>
        <v>3.8040728322587061</v>
      </c>
      <c r="AS4" s="37">
        <f>AR4+AM4</f>
        <v>3.9040728322587062</v>
      </c>
      <c r="AT4" s="3"/>
      <c r="BI4" s="25"/>
      <c r="BJ4" s="25"/>
      <c r="BR4" s="26"/>
      <c r="BW4" s="3"/>
      <c r="BX4" s="3"/>
      <c r="BY4" s="27"/>
      <c r="CC4" s="29"/>
      <c r="CD4" s="29"/>
      <c r="CE4" s="30"/>
      <c r="CF4" s="24"/>
      <c r="CG4" s="30"/>
      <c r="CH4" s="27"/>
      <c r="CI4" s="31"/>
      <c r="CL4" s="24"/>
      <c r="CM4" s="30"/>
      <c r="CN4" s="31"/>
    </row>
    <row r="5" spans="1:92" s="40" customFormat="1" x14ac:dyDescent="0.2">
      <c r="A5" s="39" t="s">
        <v>51</v>
      </c>
      <c r="B5" s="39" t="s">
        <v>52</v>
      </c>
      <c r="C5" s="17">
        <v>40</v>
      </c>
      <c r="D5" s="17">
        <v>1</v>
      </c>
      <c r="F5" s="41">
        <v>88.01</v>
      </c>
      <c r="G5" s="42">
        <v>0.21</v>
      </c>
      <c r="H5" s="43">
        <v>1025</v>
      </c>
      <c r="I5" s="43">
        <v>30</v>
      </c>
      <c r="J5" s="40">
        <v>9.4</v>
      </c>
      <c r="K5" s="9">
        <v>1.5</v>
      </c>
      <c r="L5" s="20">
        <f t="shared" si="0"/>
        <v>97.141280353200898</v>
      </c>
      <c r="M5" s="20">
        <f t="shared" si="6"/>
        <v>1.71</v>
      </c>
      <c r="N5" s="5">
        <f t="shared" si="7"/>
        <v>232.98727367159105</v>
      </c>
      <c r="O5" s="21">
        <f t="shared" si="8"/>
        <v>141.42133052224654</v>
      </c>
      <c r="P5" s="9">
        <f t="shared" si="1"/>
        <v>40</v>
      </c>
      <c r="Q5" s="44">
        <f t="shared" ref="Q5:Q24" si="10">(R5+S5)/2</f>
        <v>1715</v>
      </c>
      <c r="R5" s="45">
        <v>1616</v>
      </c>
      <c r="S5" s="45">
        <v>1814</v>
      </c>
      <c r="T5" s="46">
        <f t="shared" ref="T5:T24" si="11">2000-Q5</f>
        <v>285</v>
      </c>
      <c r="U5" s="3">
        <f t="shared" ref="U5:V24" si="12">(2000-R5)</f>
        <v>384</v>
      </c>
      <c r="V5" s="3">
        <f t="shared" si="12"/>
        <v>186</v>
      </c>
      <c r="W5" s="46">
        <f t="shared" ref="W5:W24" si="13">ABS(U5-V5)/2</f>
        <v>99</v>
      </c>
      <c r="X5" s="9">
        <f t="shared" si="2"/>
        <v>40</v>
      </c>
      <c r="Y5" s="9"/>
      <c r="AA5" s="47">
        <v>115</v>
      </c>
      <c r="AB5" s="47">
        <v>85</v>
      </c>
      <c r="AC5" s="6">
        <f t="shared" si="3"/>
        <v>1025</v>
      </c>
      <c r="AD5" s="6">
        <f t="shared" si="3"/>
        <v>30</v>
      </c>
      <c r="AF5" s="9">
        <f t="shared" si="4"/>
        <v>40</v>
      </c>
      <c r="AI5" s="44"/>
      <c r="AJ5" s="48"/>
      <c r="AK5" s="48"/>
      <c r="AM5" s="48"/>
      <c r="AN5" s="33">
        <f>F5/EXP(-(LN(2)/5730)*(AA5))</f>
        <v>89.242891928876816</v>
      </c>
      <c r="AO5" s="34"/>
      <c r="AP5" s="48"/>
      <c r="AQ5" s="49"/>
      <c r="AR5" s="50"/>
      <c r="AS5" s="51"/>
      <c r="AT5" s="44"/>
      <c r="BI5" s="52"/>
      <c r="BJ5" s="52"/>
      <c r="BR5" s="53"/>
      <c r="BW5" s="44"/>
      <c r="BX5" s="44"/>
      <c r="BY5" s="54"/>
      <c r="CC5" s="55"/>
      <c r="CD5" s="55"/>
      <c r="CE5" s="56"/>
      <c r="CF5" s="57"/>
      <c r="CG5" s="56"/>
      <c r="CH5" s="54"/>
      <c r="CI5" s="58"/>
      <c r="CL5" s="57"/>
      <c r="CM5" s="56"/>
      <c r="CN5" s="58"/>
    </row>
    <row r="6" spans="1:92" s="40" customFormat="1" x14ac:dyDescent="0.2">
      <c r="A6" s="39" t="s">
        <v>53</v>
      </c>
      <c r="B6" s="39" t="s">
        <v>54</v>
      </c>
      <c r="C6" s="17">
        <v>76</v>
      </c>
      <c r="D6" s="17">
        <v>1</v>
      </c>
      <c r="F6" s="41">
        <v>88</v>
      </c>
      <c r="G6" s="59">
        <v>0.21</v>
      </c>
      <c r="H6" s="43">
        <v>1025</v>
      </c>
      <c r="I6" s="43">
        <v>30</v>
      </c>
      <c r="J6" s="40">
        <v>9.4</v>
      </c>
      <c r="K6" s="9">
        <v>1.5</v>
      </c>
      <c r="L6" s="20">
        <f t="shared" si="0"/>
        <v>97.13024282560707</v>
      </c>
      <c r="M6" s="20">
        <f t="shared" si="6"/>
        <v>1.71</v>
      </c>
      <c r="N6" s="5">
        <f t="shared" si="7"/>
        <v>233.90006271865076</v>
      </c>
      <c r="O6" s="21">
        <f t="shared" si="8"/>
        <v>141.43740444935045</v>
      </c>
      <c r="P6" s="9">
        <f t="shared" si="1"/>
        <v>76</v>
      </c>
      <c r="Q6" s="60">
        <f t="shared" si="10"/>
        <v>1714.5</v>
      </c>
      <c r="R6" s="45">
        <v>1616</v>
      </c>
      <c r="S6" s="45">
        <v>1813</v>
      </c>
      <c r="T6" s="46">
        <f t="shared" si="11"/>
        <v>285.5</v>
      </c>
      <c r="U6" s="3">
        <f t="shared" si="12"/>
        <v>384</v>
      </c>
      <c r="V6" s="3">
        <f t="shared" si="12"/>
        <v>187</v>
      </c>
      <c r="W6" s="46">
        <f t="shared" si="13"/>
        <v>98.5</v>
      </c>
      <c r="X6" s="9">
        <f t="shared" si="2"/>
        <v>76</v>
      </c>
      <c r="Y6" s="9"/>
      <c r="AA6" s="61">
        <v>299</v>
      </c>
      <c r="AB6" s="17">
        <v>82</v>
      </c>
      <c r="AC6" s="6">
        <f t="shared" si="3"/>
        <v>1025</v>
      </c>
      <c r="AD6" s="6">
        <f t="shared" si="3"/>
        <v>30</v>
      </c>
      <c r="AF6" s="9">
        <f t="shared" si="4"/>
        <v>76</v>
      </c>
      <c r="AI6" s="44"/>
      <c r="AJ6" s="48"/>
      <c r="AK6" s="48"/>
      <c r="AM6" s="48"/>
      <c r="AN6" s="33">
        <f>F6/EXP(-(LN(2)/5730)*(AA6))</f>
        <v>91.241174929611162</v>
      </c>
      <c r="AO6" s="34"/>
      <c r="AP6" s="48"/>
      <c r="AQ6" s="49"/>
      <c r="AR6" s="50"/>
      <c r="AS6" s="51"/>
      <c r="AT6" s="44"/>
      <c r="BI6" s="52"/>
      <c r="BJ6" s="52"/>
      <c r="BR6" s="53"/>
      <c r="BW6" s="44"/>
      <c r="BX6" s="44"/>
      <c r="BY6" s="54"/>
      <c r="CC6" s="55"/>
      <c r="CD6" s="55"/>
      <c r="CE6" s="56"/>
      <c r="CF6" s="57"/>
      <c r="CG6" s="56"/>
      <c r="CH6" s="54"/>
      <c r="CI6" s="58"/>
      <c r="CL6" s="57"/>
      <c r="CM6" s="56"/>
      <c r="CN6" s="58"/>
    </row>
    <row r="7" spans="1:92" s="9" customFormat="1" ht="11.25" x14ac:dyDescent="0.2">
      <c r="A7" s="9" t="s">
        <v>55</v>
      </c>
      <c r="B7" s="9" t="s">
        <v>56</v>
      </c>
      <c r="C7" s="17">
        <v>77</v>
      </c>
      <c r="D7" s="17">
        <v>1</v>
      </c>
      <c r="E7" s="9">
        <v>43.1</v>
      </c>
      <c r="F7" s="9">
        <v>86.4</v>
      </c>
      <c r="G7" s="18">
        <v>0.65</v>
      </c>
      <c r="H7" s="19">
        <f t="shared" si="5"/>
        <v>1174.2841042605271</v>
      </c>
      <c r="I7" s="9">
        <v>60</v>
      </c>
      <c r="J7" s="9">
        <v>9.4</v>
      </c>
      <c r="K7" s="9">
        <v>1.5</v>
      </c>
      <c r="L7" s="20">
        <f t="shared" si="0"/>
        <v>95.364238410596045</v>
      </c>
      <c r="M7" s="20">
        <f t="shared" si="6"/>
        <v>2.15</v>
      </c>
      <c r="N7" s="5">
        <f t="shared" si="7"/>
        <v>381.2986936402724</v>
      </c>
      <c r="O7" s="21">
        <f t="shared" si="8"/>
        <v>181.13579428760232</v>
      </c>
      <c r="P7" s="9">
        <f t="shared" si="1"/>
        <v>77</v>
      </c>
      <c r="Q7" s="62">
        <f t="shared" si="10"/>
        <v>1530</v>
      </c>
      <c r="R7" s="63">
        <v>1390</v>
      </c>
      <c r="S7" s="63">
        <v>1670</v>
      </c>
      <c r="T7" s="2">
        <f t="shared" si="11"/>
        <v>470</v>
      </c>
      <c r="U7" s="3">
        <f t="shared" si="12"/>
        <v>610</v>
      </c>
      <c r="V7" s="3">
        <f t="shared" si="12"/>
        <v>330</v>
      </c>
      <c r="W7" s="46">
        <f t="shared" si="13"/>
        <v>140</v>
      </c>
      <c r="X7" s="9">
        <f t="shared" si="2"/>
        <v>77</v>
      </c>
      <c r="AA7" s="2"/>
      <c r="AB7" s="17"/>
      <c r="AC7" s="6">
        <f t="shared" si="3"/>
        <v>1174.2841042605271</v>
      </c>
      <c r="AD7" s="6">
        <f t="shared" si="3"/>
        <v>60</v>
      </c>
      <c r="AF7" s="9">
        <f t="shared" si="4"/>
        <v>77</v>
      </c>
      <c r="AI7" s="3"/>
      <c r="AN7" s="3"/>
      <c r="AO7" s="23"/>
      <c r="AP7" s="9">
        <v>86.4</v>
      </c>
      <c r="AQ7" s="20">
        <v>0.65</v>
      </c>
      <c r="AR7" s="64"/>
      <c r="AS7" s="3"/>
      <c r="AT7" s="3"/>
      <c r="AU7" s="9">
        <v>77</v>
      </c>
      <c r="BB7" s="9">
        <v>106.2</v>
      </c>
      <c r="BC7" s="9">
        <v>0.49</v>
      </c>
      <c r="BD7" s="9">
        <v>132</v>
      </c>
      <c r="BE7" s="9">
        <f>1990-BD7</f>
        <v>1858</v>
      </c>
      <c r="BF7" s="9" t="s">
        <v>55</v>
      </c>
      <c r="BG7" s="9">
        <v>101.3</v>
      </c>
      <c r="BH7" s="9">
        <f>BH3+1</f>
        <v>2</v>
      </c>
      <c r="BI7" s="25">
        <v>95</v>
      </c>
      <c r="BJ7" s="25">
        <v>100</v>
      </c>
      <c r="BK7" s="9">
        <v>-9.85</v>
      </c>
      <c r="BL7" s="9">
        <v>-4.82</v>
      </c>
      <c r="BM7" s="9">
        <v>0.1</v>
      </c>
      <c r="BN7" s="9">
        <f t="shared" si="9"/>
        <v>-167.00856062902957</v>
      </c>
      <c r="BO7" s="9">
        <v>100</v>
      </c>
      <c r="BR7" s="26">
        <f>(O7-I7)*100/O7</f>
        <v>66.875680074180323</v>
      </c>
      <c r="BU7" s="9">
        <v>101.3</v>
      </c>
      <c r="BV7" s="9">
        <v>0.6</v>
      </c>
      <c r="BW7" s="3"/>
      <c r="BX7" s="3"/>
      <c r="BY7" s="27"/>
      <c r="CE7" s="30"/>
      <c r="CF7" s="24"/>
      <c r="CG7" s="30"/>
      <c r="CH7" s="27"/>
      <c r="CI7" s="31"/>
      <c r="CL7" s="24"/>
      <c r="CM7" s="30"/>
      <c r="CN7" s="31"/>
    </row>
    <row r="8" spans="1:92" s="40" customFormat="1" x14ac:dyDescent="0.2">
      <c r="A8" s="39" t="s">
        <v>57</v>
      </c>
      <c r="B8" s="40" t="s">
        <v>58</v>
      </c>
      <c r="C8" s="17">
        <v>120</v>
      </c>
      <c r="D8" s="17">
        <v>1</v>
      </c>
      <c r="F8" s="39">
        <v>87.09</v>
      </c>
      <c r="G8" s="59">
        <v>0.21</v>
      </c>
      <c r="H8" s="43">
        <v>1110</v>
      </c>
      <c r="I8" s="40">
        <v>30</v>
      </c>
      <c r="J8" s="40">
        <v>9.4</v>
      </c>
      <c r="K8" s="9">
        <v>1.5</v>
      </c>
      <c r="L8" s="20">
        <f t="shared" si="0"/>
        <v>96.125827814569547</v>
      </c>
      <c r="M8" s="20">
        <f t="shared" si="6"/>
        <v>1.71</v>
      </c>
      <c r="N8" s="5">
        <f t="shared" si="7"/>
        <v>317.40107158364435</v>
      </c>
      <c r="O8" s="21">
        <f t="shared" si="8"/>
        <v>142.9155886100578</v>
      </c>
      <c r="P8" s="9">
        <f t="shared" si="1"/>
        <v>120</v>
      </c>
      <c r="Q8" s="44">
        <f t="shared" si="10"/>
        <v>1559</v>
      </c>
      <c r="R8" s="45">
        <v>1438</v>
      </c>
      <c r="S8" s="45">
        <v>1680</v>
      </c>
      <c r="T8" s="2">
        <f t="shared" si="11"/>
        <v>441</v>
      </c>
      <c r="U8" s="3">
        <f t="shared" si="12"/>
        <v>562</v>
      </c>
      <c r="V8" s="3">
        <f t="shared" si="12"/>
        <v>320</v>
      </c>
      <c r="W8" s="46">
        <f t="shared" si="13"/>
        <v>121</v>
      </c>
      <c r="X8" s="9">
        <f t="shared" si="2"/>
        <v>120</v>
      </c>
      <c r="Y8" s="9"/>
      <c r="AA8" s="47">
        <v>426</v>
      </c>
      <c r="AB8" s="47">
        <v>75</v>
      </c>
      <c r="AC8" s="6">
        <f t="shared" si="3"/>
        <v>1110</v>
      </c>
      <c r="AD8" s="6">
        <f t="shared" si="3"/>
        <v>30</v>
      </c>
      <c r="AF8" s="9">
        <f t="shared" si="4"/>
        <v>120</v>
      </c>
      <c r="AI8" s="44"/>
      <c r="AN8" s="33">
        <f t="shared" ref="AN8:AN19" si="14">F8/EXP(-(LN(2)/5730)*(AA8))</f>
        <v>91.695607274528982</v>
      </c>
      <c r="AO8" s="23"/>
      <c r="AQ8" s="65"/>
      <c r="AR8" s="66"/>
      <c r="AS8" s="44"/>
      <c r="AT8" s="44"/>
      <c r="BI8" s="52"/>
      <c r="BJ8" s="52"/>
      <c r="BR8" s="53"/>
      <c r="BW8" s="44"/>
      <c r="BX8" s="44"/>
      <c r="BY8" s="54"/>
      <c r="CE8" s="56"/>
      <c r="CF8" s="57"/>
      <c r="CG8" s="56"/>
      <c r="CH8" s="54"/>
      <c r="CI8" s="58"/>
      <c r="CL8" s="57"/>
      <c r="CM8" s="56"/>
      <c r="CN8" s="58"/>
    </row>
    <row r="9" spans="1:92" s="40" customFormat="1" x14ac:dyDescent="0.2">
      <c r="A9" s="39" t="s">
        <v>59</v>
      </c>
      <c r="B9" s="39" t="s">
        <v>60</v>
      </c>
      <c r="C9" s="17">
        <v>160</v>
      </c>
      <c r="D9" s="17">
        <v>1</v>
      </c>
      <c r="F9" s="39">
        <v>85.49</v>
      </c>
      <c r="G9" s="59">
        <v>0.21</v>
      </c>
      <c r="H9" s="43">
        <v>1260</v>
      </c>
      <c r="I9" s="40">
        <v>30</v>
      </c>
      <c r="J9" s="40">
        <v>9.4</v>
      </c>
      <c r="K9" s="9">
        <v>1.5</v>
      </c>
      <c r="L9" s="20">
        <f t="shared" si="0"/>
        <v>94.359823399558508</v>
      </c>
      <c r="M9" s="20">
        <f t="shared" si="6"/>
        <v>1.71</v>
      </c>
      <c r="N9" s="5">
        <f t="shared" si="7"/>
        <v>466.35423258568602</v>
      </c>
      <c r="O9" s="21">
        <f t="shared" si="8"/>
        <v>145.59092560789071</v>
      </c>
      <c r="P9" s="9">
        <f t="shared" si="1"/>
        <v>160</v>
      </c>
      <c r="Q9" s="60">
        <f t="shared" si="10"/>
        <v>1456.5</v>
      </c>
      <c r="R9" s="45">
        <v>1387</v>
      </c>
      <c r="S9" s="45">
        <v>1526</v>
      </c>
      <c r="T9" s="46">
        <f t="shared" si="11"/>
        <v>543.5</v>
      </c>
      <c r="U9" s="3">
        <f t="shared" si="12"/>
        <v>613</v>
      </c>
      <c r="V9" s="3">
        <f t="shared" si="12"/>
        <v>474</v>
      </c>
      <c r="W9" s="46">
        <f t="shared" si="13"/>
        <v>69.5</v>
      </c>
      <c r="X9" s="9">
        <f t="shared" si="2"/>
        <v>160</v>
      </c>
      <c r="Y9" s="9"/>
      <c r="AA9" s="47">
        <v>498</v>
      </c>
      <c r="AB9" s="47">
        <v>35</v>
      </c>
      <c r="AC9" s="6">
        <f t="shared" si="3"/>
        <v>1260</v>
      </c>
      <c r="AD9" s="6">
        <f t="shared" si="3"/>
        <v>30</v>
      </c>
      <c r="AF9" s="9">
        <f t="shared" si="4"/>
        <v>160</v>
      </c>
      <c r="AI9" s="44"/>
      <c r="AN9" s="33">
        <f t="shared" si="14"/>
        <v>90.798386989691224</v>
      </c>
      <c r="AO9" s="23"/>
      <c r="AQ9" s="65"/>
      <c r="AR9" s="66"/>
      <c r="AS9" s="44"/>
      <c r="AT9" s="44"/>
      <c r="BI9" s="52"/>
      <c r="BJ9" s="52"/>
      <c r="BR9" s="53"/>
      <c r="BW9" s="44"/>
      <c r="BX9" s="44"/>
      <c r="BY9" s="54"/>
      <c r="CE9" s="56"/>
      <c r="CF9" s="57"/>
      <c r="CG9" s="56"/>
      <c r="CH9" s="54"/>
      <c r="CI9" s="58"/>
      <c r="CL9" s="57"/>
      <c r="CM9" s="56"/>
      <c r="CN9" s="58"/>
    </row>
    <row r="10" spans="1:92" s="9" customFormat="1" ht="11.25" x14ac:dyDescent="0.2">
      <c r="A10" s="9" t="s">
        <v>61</v>
      </c>
      <c r="B10" s="9" t="s">
        <v>62</v>
      </c>
      <c r="C10" s="17">
        <v>180</v>
      </c>
      <c r="D10" s="17">
        <v>1</v>
      </c>
      <c r="E10" s="9">
        <v>28.7</v>
      </c>
      <c r="F10" s="9">
        <v>87.4</v>
      </c>
      <c r="G10" s="18">
        <v>0.65</v>
      </c>
      <c r="H10" s="19">
        <f t="shared" si="5"/>
        <v>1081.8434984225894</v>
      </c>
      <c r="I10" s="9">
        <v>60</v>
      </c>
      <c r="J10" s="9">
        <v>9.4</v>
      </c>
      <c r="K10" s="9">
        <v>1.5</v>
      </c>
      <c r="L10" s="20">
        <f t="shared" si="0"/>
        <v>96.467991169977935</v>
      </c>
      <c r="M10" s="20">
        <f t="shared" si="6"/>
        <v>2.15</v>
      </c>
      <c r="N10" s="5">
        <f t="shared" si="7"/>
        <v>288.85808780233532</v>
      </c>
      <c r="O10" s="21">
        <f t="shared" si="8"/>
        <v>179.06261179416765</v>
      </c>
      <c r="P10" s="9">
        <f t="shared" si="1"/>
        <v>180</v>
      </c>
      <c r="Q10" s="62">
        <f t="shared" si="10"/>
        <v>1566</v>
      </c>
      <c r="R10" s="67">
        <v>1443</v>
      </c>
      <c r="S10" s="67">
        <v>1689</v>
      </c>
      <c r="T10" s="46">
        <f t="shared" si="11"/>
        <v>434</v>
      </c>
      <c r="U10" s="3">
        <f>(2000-R10)</f>
        <v>557</v>
      </c>
      <c r="V10" s="3">
        <f>(2000-S10)</f>
        <v>311</v>
      </c>
      <c r="W10" s="46">
        <f>ABS(U10-V10)/2</f>
        <v>123</v>
      </c>
      <c r="X10" s="9">
        <f t="shared" si="2"/>
        <v>180</v>
      </c>
      <c r="Z10" s="9" t="s">
        <v>63</v>
      </c>
      <c r="AA10" s="2">
        <v>519</v>
      </c>
      <c r="AB10" s="17">
        <v>14</v>
      </c>
      <c r="AC10" s="6">
        <f t="shared" si="3"/>
        <v>1081.8434984225894</v>
      </c>
      <c r="AD10" s="6">
        <f t="shared" si="3"/>
        <v>60</v>
      </c>
      <c r="AF10" s="9">
        <f t="shared" si="4"/>
        <v>180</v>
      </c>
      <c r="AH10" s="3">
        <f>AA10-47</f>
        <v>472</v>
      </c>
      <c r="AI10" s="9">
        <f>1997-AA10</f>
        <v>1478</v>
      </c>
      <c r="AJ10" s="9">
        <v>10.6</v>
      </c>
      <c r="AK10" s="9">
        <v>1.6</v>
      </c>
      <c r="AL10" s="9">
        <f>(AJ10)/10+100</f>
        <v>101.06</v>
      </c>
      <c r="AM10" s="9">
        <f>AK10/10</f>
        <v>0.16</v>
      </c>
      <c r="AN10" s="24">
        <f t="shared" si="14"/>
        <v>93.063096828382086</v>
      </c>
      <c r="AO10" s="68">
        <f>(1-(AN10/AL10))*100</f>
        <v>7.9130251054996155</v>
      </c>
      <c r="AP10" s="9">
        <v>87.4</v>
      </c>
      <c r="AQ10" s="20">
        <v>0.65</v>
      </c>
      <c r="AR10" s="14">
        <f>AN10*(AQ10/AP10+AB10/AA10)</f>
        <v>3.2024894069801331</v>
      </c>
      <c r="AS10" s="4">
        <f>AR10+AM10</f>
        <v>3.3624894069801332</v>
      </c>
      <c r="AT10" s="4"/>
      <c r="AU10" s="9">
        <v>180</v>
      </c>
      <c r="AV10" s="3">
        <f>AA10-47</f>
        <v>472</v>
      </c>
      <c r="AW10" s="9">
        <f>AB10</f>
        <v>14</v>
      </c>
      <c r="BB10" s="9">
        <v>106.2</v>
      </c>
      <c r="BC10" s="9">
        <v>0.6</v>
      </c>
      <c r="BD10" s="9">
        <v>339</v>
      </c>
      <c r="BE10" s="9">
        <f>1990-BD10</f>
        <v>1651</v>
      </c>
      <c r="BF10" s="9" t="s">
        <v>61</v>
      </c>
      <c r="BG10" s="9">
        <v>91</v>
      </c>
      <c r="BH10" s="9">
        <f>BH7+1</f>
        <v>3</v>
      </c>
      <c r="BI10" s="3">
        <v>519</v>
      </c>
      <c r="BJ10" s="9">
        <v>14</v>
      </c>
      <c r="BK10" s="9">
        <v>-9.86</v>
      </c>
      <c r="BL10" s="9">
        <v>-4.2300000000000004</v>
      </c>
      <c r="BM10" s="9">
        <v>0.1</v>
      </c>
      <c r="BN10" s="9">
        <f t="shared" si="9"/>
        <v>-251.79538167693113</v>
      </c>
      <c r="BO10" s="9" t="s">
        <v>64</v>
      </c>
      <c r="BR10" s="26"/>
      <c r="BT10" s="9">
        <v>0.35</v>
      </c>
      <c r="BU10" s="9">
        <v>91</v>
      </c>
      <c r="BV10" s="9">
        <v>0.5</v>
      </c>
      <c r="BW10" s="3"/>
      <c r="BX10" s="3"/>
      <c r="BY10" s="27"/>
      <c r="BZ10" s="24"/>
      <c r="CB10" s="10"/>
      <c r="CD10" s="16"/>
      <c r="CE10" s="30"/>
      <c r="CF10" s="24"/>
      <c r="CG10" s="30"/>
      <c r="CH10" s="27"/>
      <c r="CI10" s="31"/>
      <c r="CL10" s="24"/>
      <c r="CM10" s="30"/>
      <c r="CN10" s="31"/>
    </row>
    <row r="11" spans="1:92" s="40" customFormat="1" x14ac:dyDescent="0.2">
      <c r="A11" s="39" t="s">
        <v>65</v>
      </c>
      <c r="B11" s="39" t="s">
        <v>66</v>
      </c>
      <c r="C11" s="17">
        <v>200</v>
      </c>
      <c r="D11" s="17">
        <v>1</v>
      </c>
      <c r="F11" s="39">
        <v>84.67</v>
      </c>
      <c r="G11" s="39">
        <v>0.2</v>
      </c>
      <c r="H11" s="43">
        <v>1335</v>
      </c>
      <c r="I11" s="40">
        <v>30</v>
      </c>
      <c r="J11" s="40">
        <v>9.4</v>
      </c>
      <c r="K11" s="9">
        <v>1.5</v>
      </c>
      <c r="L11" s="20">
        <f t="shared" si="0"/>
        <v>93.454746136865353</v>
      </c>
      <c r="M11" s="20">
        <f t="shared" si="6"/>
        <v>1.7</v>
      </c>
      <c r="N11" s="5">
        <f t="shared" si="7"/>
        <v>543.77678771600824</v>
      </c>
      <c r="O11" s="21">
        <f t="shared" si="8"/>
        <v>146.141390628073</v>
      </c>
      <c r="P11" s="9">
        <f t="shared" si="1"/>
        <v>200</v>
      </c>
      <c r="Q11" s="60">
        <f t="shared" si="10"/>
        <v>1383.5</v>
      </c>
      <c r="R11" s="45">
        <v>1275</v>
      </c>
      <c r="S11" s="45">
        <v>1492</v>
      </c>
      <c r="T11" s="46">
        <f t="shared" si="11"/>
        <v>616.5</v>
      </c>
      <c r="U11" s="3">
        <f t="shared" si="12"/>
        <v>725</v>
      </c>
      <c r="V11" s="3">
        <f t="shared" si="12"/>
        <v>508</v>
      </c>
      <c r="W11" s="46">
        <f t="shared" si="13"/>
        <v>108.5</v>
      </c>
      <c r="X11" s="9">
        <f t="shared" si="2"/>
        <v>200</v>
      </c>
      <c r="Y11" s="9"/>
      <c r="AA11" s="47">
        <v>569</v>
      </c>
      <c r="AB11" s="47">
        <v>67</v>
      </c>
      <c r="AC11" s="6">
        <f t="shared" si="3"/>
        <v>1335</v>
      </c>
      <c r="AD11" s="6">
        <f t="shared" si="3"/>
        <v>30</v>
      </c>
      <c r="AF11" s="9">
        <f t="shared" si="4"/>
        <v>200</v>
      </c>
      <c r="AH11" s="44"/>
      <c r="AN11" s="33">
        <f t="shared" si="14"/>
        <v>90.70315969944005</v>
      </c>
      <c r="AO11" s="68"/>
      <c r="AQ11" s="65"/>
      <c r="AR11" s="69"/>
      <c r="AS11" s="70"/>
      <c r="AT11" s="70"/>
      <c r="AV11" s="44"/>
      <c r="BI11" s="44"/>
      <c r="BR11" s="53"/>
      <c r="BW11" s="44"/>
      <c r="BX11" s="44"/>
      <c r="BY11" s="54"/>
      <c r="BZ11" s="57"/>
      <c r="CB11" s="71"/>
      <c r="CD11" s="72"/>
      <c r="CE11" s="56"/>
      <c r="CF11" s="57"/>
      <c r="CG11" s="56"/>
      <c r="CH11" s="54"/>
      <c r="CI11" s="58"/>
      <c r="CL11" s="57"/>
      <c r="CM11" s="56"/>
      <c r="CN11" s="58"/>
    </row>
    <row r="12" spans="1:92" s="40" customFormat="1" x14ac:dyDescent="0.2">
      <c r="A12" s="39" t="s">
        <v>67</v>
      </c>
      <c r="B12" s="39" t="s">
        <v>68</v>
      </c>
      <c r="C12" s="17">
        <v>240</v>
      </c>
      <c r="D12" s="17">
        <v>1</v>
      </c>
      <c r="F12" s="39">
        <v>83.15</v>
      </c>
      <c r="G12" s="39">
        <v>0.2</v>
      </c>
      <c r="H12" s="43">
        <v>1480</v>
      </c>
      <c r="I12" s="40">
        <v>30</v>
      </c>
      <c r="J12" s="40">
        <v>9.4</v>
      </c>
      <c r="K12" s="9">
        <v>1.5</v>
      </c>
      <c r="L12" s="20">
        <f t="shared" si="0"/>
        <v>91.777041942604868</v>
      </c>
      <c r="M12" s="20">
        <f t="shared" si="6"/>
        <v>1.7</v>
      </c>
      <c r="N12" s="5">
        <f t="shared" si="7"/>
        <v>689.29572352450487</v>
      </c>
      <c r="O12" s="21">
        <f t="shared" si="8"/>
        <v>148.81349265097515</v>
      </c>
      <c r="P12" s="9">
        <f t="shared" si="1"/>
        <v>240</v>
      </c>
      <c r="Q12" s="60">
        <f t="shared" si="10"/>
        <v>1302</v>
      </c>
      <c r="R12" s="45">
        <v>1186</v>
      </c>
      <c r="S12" s="45">
        <v>1418</v>
      </c>
      <c r="T12" s="46">
        <f t="shared" si="11"/>
        <v>698</v>
      </c>
      <c r="U12" s="3">
        <f t="shared" si="12"/>
        <v>814</v>
      </c>
      <c r="V12" s="3">
        <f t="shared" si="12"/>
        <v>582</v>
      </c>
      <c r="W12" s="46">
        <f t="shared" si="13"/>
        <v>116</v>
      </c>
      <c r="X12" s="9">
        <f t="shared" si="2"/>
        <v>240</v>
      </c>
      <c r="Y12" s="9"/>
      <c r="AA12" s="47">
        <v>631</v>
      </c>
      <c r="AB12" s="47">
        <v>68</v>
      </c>
      <c r="AC12" s="6">
        <f t="shared" si="3"/>
        <v>1480</v>
      </c>
      <c r="AD12" s="6">
        <f t="shared" si="3"/>
        <v>30</v>
      </c>
      <c r="AF12" s="9">
        <f t="shared" si="4"/>
        <v>240</v>
      </c>
      <c r="AH12" s="44"/>
      <c r="AN12" s="33">
        <f t="shared" si="14"/>
        <v>89.745426976894962</v>
      </c>
      <c r="AO12" s="68"/>
      <c r="AQ12" s="65"/>
      <c r="AR12" s="69"/>
      <c r="AS12" s="70"/>
      <c r="AT12" s="70"/>
      <c r="AV12" s="44"/>
      <c r="BI12" s="44"/>
      <c r="BR12" s="53"/>
      <c r="BW12" s="44"/>
      <c r="BX12" s="44"/>
      <c r="BY12" s="54"/>
      <c r="BZ12" s="57"/>
      <c r="CB12" s="71"/>
      <c r="CD12" s="72"/>
      <c r="CE12" s="56"/>
      <c r="CF12" s="57"/>
      <c r="CG12" s="56"/>
      <c r="CH12" s="54"/>
      <c r="CI12" s="58"/>
      <c r="CL12" s="57"/>
      <c r="CM12" s="56"/>
      <c r="CN12" s="58"/>
    </row>
    <row r="13" spans="1:92" s="40" customFormat="1" x14ac:dyDescent="0.2">
      <c r="A13" s="39" t="s">
        <v>69</v>
      </c>
      <c r="B13" s="39" t="s">
        <v>70</v>
      </c>
      <c r="C13" s="17">
        <v>280</v>
      </c>
      <c r="D13" s="17">
        <v>1</v>
      </c>
      <c r="F13" s="39">
        <v>83.54</v>
      </c>
      <c r="G13" s="39">
        <v>0.2</v>
      </c>
      <c r="H13" s="43">
        <v>1445</v>
      </c>
      <c r="I13" s="40">
        <v>30</v>
      </c>
      <c r="J13" s="40">
        <v>9.4</v>
      </c>
      <c r="K13" s="9">
        <v>1.5</v>
      </c>
      <c r="L13" s="20">
        <f t="shared" si="0"/>
        <v>92.20750551876381</v>
      </c>
      <c r="M13" s="20">
        <f t="shared" si="6"/>
        <v>1.7</v>
      </c>
      <c r="N13" s="5">
        <f t="shared" si="7"/>
        <v>651.70647742057065</v>
      </c>
      <c r="O13" s="21">
        <f t="shared" si="8"/>
        <v>148.11861057599222</v>
      </c>
      <c r="P13" s="9">
        <f t="shared" si="1"/>
        <v>280</v>
      </c>
      <c r="Q13" s="44">
        <f t="shared" si="10"/>
        <v>1326</v>
      </c>
      <c r="R13" s="45">
        <v>1221</v>
      </c>
      <c r="S13" s="45">
        <v>1431</v>
      </c>
      <c r="T13" s="46">
        <f t="shared" si="11"/>
        <v>674</v>
      </c>
      <c r="U13" s="3">
        <f t="shared" si="12"/>
        <v>779</v>
      </c>
      <c r="V13" s="3">
        <f t="shared" si="12"/>
        <v>569</v>
      </c>
      <c r="W13" s="46">
        <f t="shared" si="13"/>
        <v>105</v>
      </c>
      <c r="X13" s="9">
        <f t="shared" si="2"/>
        <v>280</v>
      </c>
      <c r="Y13" s="9"/>
      <c r="AA13" s="47">
        <v>691</v>
      </c>
      <c r="AB13" s="47">
        <v>41</v>
      </c>
      <c r="AC13" s="6">
        <f t="shared" si="3"/>
        <v>1445</v>
      </c>
      <c r="AD13" s="6">
        <f t="shared" si="3"/>
        <v>30</v>
      </c>
      <c r="AF13" s="9">
        <f t="shared" si="4"/>
        <v>280</v>
      </c>
      <c r="AH13" s="44"/>
      <c r="AN13" s="33">
        <f t="shared" si="14"/>
        <v>90.823177537431931</v>
      </c>
      <c r="AO13" s="68"/>
      <c r="AQ13" s="65"/>
      <c r="AR13" s="69"/>
      <c r="AS13" s="70"/>
      <c r="AT13" s="70"/>
      <c r="AV13" s="44"/>
      <c r="BI13" s="44"/>
      <c r="BR13" s="53"/>
      <c r="BW13" s="44"/>
      <c r="BX13" s="44"/>
      <c r="BY13" s="54"/>
      <c r="BZ13" s="57"/>
      <c r="CB13" s="71"/>
      <c r="CD13" s="72"/>
      <c r="CE13" s="56"/>
      <c r="CF13" s="57"/>
      <c r="CG13" s="56"/>
      <c r="CH13" s="54"/>
      <c r="CI13" s="58"/>
      <c r="CL13" s="57"/>
      <c r="CM13" s="56"/>
      <c r="CN13" s="58"/>
    </row>
    <row r="14" spans="1:92" s="9" customFormat="1" ht="11.25" x14ac:dyDescent="0.2">
      <c r="A14" s="9" t="s">
        <v>71</v>
      </c>
      <c r="B14" s="9" t="s">
        <v>72</v>
      </c>
      <c r="C14" s="17">
        <v>286</v>
      </c>
      <c r="D14" s="17">
        <v>1</v>
      </c>
      <c r="E14" s="9">
        <v>34.9</v>
      </c>
      <c r="F14" s="9">
        <v>83.58</v>
      </c>
      <c r="G14" s="18">
        <v>0.6</v>
      </c>
      <c r="H14" s="19">
        <f t="shared" si="5"/>
        <v>1440.846507402531</v>
      </c>
      <c r="I14" s="9">
        <v>60</v>
      </c>
      <c r="J14" s="9">
        <v>9.4</v>
      </c>
      <c r="K14" s="9">
        <v>1.5</v>
      </c>
      <c r="L14" s="20">
        <f t="shared" si="0"/>
        <v>92.25165562913908</v>
      </c>
      <c r="M14" s="20">
        <f t="shared" si="6"/>
        <v>2.1</v>
      </c>
      <c r="N14" s="5">
        <f t="shared" si="7"/>
        <v>647.86109678227592</v>
      </c>
      <c r="O14" s="21">
        <f t="shared" si="8"/>
        <v>182.89335441867891</v>
      </c>
      <c r="P14" s="9">
        <f t="shared" si="1"/>
        <v>286</v>
      </c>
      <c r="Q14" s="5">
        <f t="shared" si="10"/>
        <v>1305.5</v>
      </c>
      <c r="R14" s="63">
        <v>1159</v>
      </c>
      <c r="S14" s="63">
        <v>1452</v>
      </c>
      <c r="T14" s="46">
        <f t="shared" si="11"/>
        <v>694.5</v>
      </c>
      <c r="U14" s="3">
        <f t="shared" si="12"/>
        <v>841</v>
      </c>
      <c r="V14" s="3">
        <f t="shared" si="12"/>
        <v>548</v>
      </c>
      <c r="W14" s="46">
        <f t="shared" si="13"/>
        <v>146.5</v>
      </c>
      <c r="X14" s="9">
        <f t="shared" si="2"/>
        <v>286</v>
      </c>
      <c r="Z14" s="9" t="s">
        <v>73</v>
      </c>
      <c r="AA14" s="2">
        <v>682</v>
      </c>
      <c r="AB14" s="17">
        <v>32</v>
      </c>
      <c r="AC14" s="6">
        <f t="shared" si="3"/>
        <v>1440.846507402531</v>
      </c>
      <c r="AD14" s="6">
        <f t="shared" si="3"/>
        <v>60</v>
      </c>
      <c r="AF14" s="9">
        <f t="shared" si="4"/>
        <v>286</v>
      </c>
      <c r="AH14" s="3">
        <f>AA14-47</f>
        <v>635</v>
      </c>
      <c r="AI14" s="9">
        <f>1997-AA14</f>
        <v>1315</v>
      </c>
      <c r="AJ14" s="9">
        <v>0.6</v>
      </c>
      <c r="AK14" s="9">
        <v>1.4</v>
      </c>
      <c r="AL14" s="9">
        <f>(AJ14)/10+100</f>
        <v>100.06</v>
      </c>
      <c r="AM14" s="9">
        <f>AK14/10</f>
        <v>0.13999999999999999</v>
      </c>
      <c r="AN14" s="24">
        <f t="shared" si="14"/>
        <v>90.767790941064519</v>
      </c>
      <c r="AO14" s="68">
        <f>(1-(AN14/AL14))*100</f>
        <v>9.286637076689475</v>
      </c>
      <c r="AP14" s="9">
        <v>83.58</v>
      </c>
      <c r="AQ14" s="20">
        <v>0.6</v>
      </c>
      <c r="AR14" s="14">
        <f>AN14*(AQ14/AP14+AB14/AA14)</f>
        <v>4.9104986423602641</v>
      </c>
      <c r="AS14" s="4">
        <f>AR14+AM14</f>
        <v>5.0504986423602638</v>
      </c>
      <c r="AT14" s="4"/>
      <c r="AU14" s="9">
        <v>286</v>
      </c>
      <c r="AV14" s="3">
        <f>AA14-47</f>
        <v>635</v>
      </c>
      <c r="AW14" s="9">
        <f>AB14</f>
        <v>32</v>
      </c>
      <c r="AX14" s="3">
        <f>-(Q14-1950)</f>
        <v>644.5</v>
      </c>
      <c r="BB14" s="9">
        <v>101.3</v>
      </c>
      <c r="BC14" s="9">
        <v>0.6</v>
      </c>
      <c r="BD14" s="9">
        <v>515</v>
      </c>
      <c r="BE14" s="9">
        <f>1990-BD14</f>
        <v>1475</v>
      </c>
      <c r="BF14" s="9" t="s">
        <v>71</v>
      </c>
      <c r="BG14" s="9">
        <v>80.400000000000006</v>
      </c>
      <c r="BH14" s="9">
        <f>BH10+1</f>
        <v>4</v>
      </c>
      <c r="BI14" s="3">
        <v>682</v>
      </c>
      <c r="BJ14" s="9">
        <v>32</v>
      </c>
      <c r="BK14" s="9">
        <v>-8.5359999999999996</v>
      </c>
      <c r="BL14" s="9">
        <v>-3.38</v>
      </c>
      <c r="BM14" s="9">
        <v>0.1</v>
      </c>
      <c r="BN14" s="9">
        <f t="shared" si="9"/>
        <v>-337.46083827694787</v>
      </c>
      <c r="BO14" s="9">
        <v>96.6</v>
      </c>
      <c r="BP14" s="9">
        <f>-5730/LN(2)*LN(BO$14/BO$7)</f>
        <v>285.95511038477883</v>
      </c>
      <c r="BR14" s="26">
        <f t="shared" ref="BR14:BR24" si="15">(O14-I14)*100/O14</f>
        <v>67.193996637708238</v>
      </c>
      <c r="BT14" s="9">
        <v>0.65</v>
      </c>
      <c r="BU14" s="9">
        <v>80.400000000000006</v>
      </c>
      <c r="BV14" s="9">
        <v>0.6</v>
      </c>
      <c r="BW14" s="3"/>
      <c r="BX14" s="3"/>
      <c r="BY14" s="27"/>
      <c r="CA14" s="10"/>
      <c r="CE14" s="30"/>
      <c r="CF14" s="24"/>
      <c r="CG14" s="30"/>
      <c r="CH14" s="27"/>
      <c r="CI14" s="31"/>
      <c r="CL14" s="24"/>
      <c r="CM14" s="30"/>
      <c r="CN14" s="31"/>
    </row>
    <row r="15" spans="1:92" s="40" customFormat="1" x14ac:dyDescent="0.2">
      <c r="A15" s="39" t="s">
        <v>74</v>
      </c>
      <c r="B15" s="39" t="s">
        <v>75</v>
      </c>
      <c r="C15" s="17">
        <v>320</v>
      </c>
      <c r="D15" s="17">
        <v>1</v>
      </c>
      <c r="F15" s="39">
        <v>81.86</v>
      </c>
      <c r="G15" s="39">
        <v>0.19</v>
      </c>
      <c r="H15" s="43">
        <v>1605</v>
      </c>
      <c r="I15" s="40">
        <v>30</v>
      </c>
      <c r="J15" s="40">
        <v>9.4</v>
      </c>
      <c r="K15" s="9">
        <v>1.5</v>
      </c>
      <c r="L15" s="20">
        <f t="shared" si="0"/>
        <v>90.353200883002216</v>
      </c>
      <c r="M15" s="20">
        <f t="shared" si="6"/>
        <v>1.69</v>
      </c>
      <c r="N15" s="5">
        <f t="shared" si="7"/>
        <v>814.89757936290721</v>
      </c>
      <c r="O15" s="21">
        <f t="shared" si="8"/>
        <v>150.26975665470468</v>
      </c>
      <c r="P15" s="9">
        <f t="shared" si="1"/>
        <v>320</v>
      </c>
      <c r="Q15" s="60">
        <f>(R15+S15)/2</f>
        <v>1163.5</v>
      </c>
      <c r="R15" s="45">
        <v>1039</v>
      </c>
      <c r="S15" s="45">
        <v>1288</v>
      </c>
      <c r="T15" s="46">
        <f t="shared" si="11"/>
        <v>836.5</v>
      </c>
      <c r="U15" s="3">
        <f t="shared" si="12"/>
        <v>961</v>
      </c>
      <c r="V15" s="3">
        <f t="shared" si="12"/>
        <v>712</v>
      </c>
      <c r="W15" s="46">
        <f t="shared" si="13"/>
        <v>124.5</v>
      </c>
      <c r="X15" s="9">
        <f t="shared" si="2"/>
        <v>320</v>
      </c>
      <c r="Y15" s="9"/>
      <c r="Z15" s="73" t="s">
        <v>76</v>
      </c>
      <c r="AA15" s="74">
        <v>810</v>
      </c>
      <c r="AB15" s="73">
        <v>30</v>
      </c>
      <c r="AC15" s="75">
        <f t="shared" si="3"/>
        <v>1605</v>
      </c>
      <c r="AD15" s="75">
        <f t="shared" si="3"/>
        <v>30</v>
      </c>
      <c r="AE15" s="73"/>
      <c r="AF15" s="73">
        <f t="shared" si="4"/>
        <v>320</v>
      </c>
      <c r="AG15" s="73"/>
      <c r="AH15" s="74">
        <f>AA15-63</f>
        <v>747</v>
      </c>
      <c r="AI15" s="73">
        <f>2013-AA15</f>
        <v>1203</v>
      </c>
      <c r="AJ15" s="73">
        <v>-17</v>
      </c>
      <c r="AK15" s="73">
        <v>1.5</v>
      </c>
      <c r="AL15" s="73">
        <f>(AJ15)/10+100</f>
        <v>98.3</v>
      </c>
      <c r="AM15" s="73">
        <f>AK15/10</f>
        <v>0.15</v>
      </c>
      <c r="AN15" s="76">
        <f t="shared" si="14"/>
        <v>90.287103106188781</v>
      </c>
      <c r="AO15" s="77">
        <f>(1-(AN15/AL15))*100</f>
        <v>8.1514719163898413</v>
      </c>
      <c r="AP15" s="73"/>
      <c r="AQ15" s="78"/>
      <c r="AR15" s="79"/>
      <c r="AS15" s="80">
        <f>AR15+AM15</f>
        <v>0.15</v>
      </c>
      <c r="AT15" s="80"/>
      <c r="AU15" s="73"/>
      <c r="AV15" s="74"/>
      <c r="AW15" s="73"/>
      <c r="AX15" s="74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4"/>
      <c r="BJ15" s="73"/>
      <c r="BK15" s="73"/>
      <c r="BL15" s="73"/>
      <c r="BM15" s="73"/>
      <c r="BN15" s="73"/>
      <c r="BO15" s="73"/>
      <c r="BP15" s="73"/>
      <c r="BR15" s="53"/>
      <c r="BW15" s="44"/>
      <c r="BX15" s="44"/>
      <c r="BY15" s="54"/>
      <c r="CA15" s="71"/>
      <c r="CE15" s="56"/>
      <c r="CF15" s="57"/>
      <c r="CG15" s="56"/>
      <c r="CH15" s="54"/>
      <c r="CI15" s="58"/>
      <c r="CL15" s="57"/>
      <c r="CM15" s="56"/>
      <c r="CN15" s="58"/>
    </row>
    <row r="16" spans="1:92" s="9" customFormat="1" ht="11.25" x14ac:dyDescent="0.2">
      <c r="A16" s="9" t="s">
        <v>77</v>
      </c>
      <c r="B16" s="9" t="s">
        <v>78</v>
      </c>
      <c r="C16" s="17">
        <v>380</v>
      </c>
      <c r="D16" s="17">
        <v>1</v>
      </c>
      <c r="E16" s="9">
        <v>35.6</v>
      </c>
      <c r="F16" s="9">
        <v>76.31</v>
      </c>
      <c r="G16" s="18">
        <v>1</v>
      </c>
      <c r="H16" s="19">
        <f t="shared" si="5"/>
        <v>2171.8516419170523</v>
      </c>
      <c r="I16" s="9">
        <v>110</v>
      </c>
      <c r="J16" s="9">
        <v>9.4</v>
      </c>
      <c r="K16" s="9">
        <v>1.5</v>
      </c>
      <c r="L16" s="20">
        <f t="shared" si="0"/>
        <v>84.227373068432684</v>
      </c>
      <c r="M16" s="20">
        <f t="shared" si="6"/>
        <v>2.5</v>
      </c>
      <c r="N16" s="5">
        <f t="shared" si="7"/>
        <v>1378.866231296797</v>
      </c>
      <c r="O16" s="21">
        <f t="shared" si="8"/>
        <v>238.50204411886193</v>
      </c>
      <c r="P16" s="9">
        <f t="shared" si="1"/>
        <v>380</v>
      </c>
      <c r="Q16" s="3">
        <f t="shared" si="10"/>
        <v>656</v>
      </c>
      <c r="R16" s="63">
        <v>416</v>
      </c>
      <c r="S16" s="63">
        <v>896</v>
      </c>
      <c r="T16" s="46">
        <f t="shared" si="11"/>
        <v>1344</v>
      </c>
      <c r="U16" s="3">
        <f t="shared" si="12"/>
        <v>1584</v>
      </c>
      <c r="V16" s="3">
        <f t="shared" si="12"/>
        <v>1104</v>
      </c>
      <c r="W16" s="46">
        <f t="shared" si="13"/>
        <v>240</v>
      </c>
      <c r="X16" s="9">
        <f t="shared" si="2"/>
        <v>380</v>
      </c>
      <c r="Z16" s="9" t="s">
        <v>79</v>
      </c>
      <c r="AA16" s="2">
        <v>1374</v>
      </c>
      <c r="AB16" s="17">
        <v>49</v>
      </c>
      <c r="AC16" s="6">
        <f t="shared" si="3"/>
        <v>2171.8516419170523</v>
      </c>
      <c r="AD16" s="6">
        <f t="shared" si="3"/>
        <v>110</v>
      </c>
      <c r="AF16" s="9">
        <f t="shared" si="4"/>
        <v>380</v>
      </c>
      <c r="AH16" s="3">
        <f>AA16-47</f>
        <v>1327</v>
      </c>
      <c r="AI16" s="9">
        <f>1997-AA16</f>
        <v>623</v>
      </c>
      <c r="AJ16" s="9">
        <v>-18.600000000000001</v>
      </c>
      <c r="AK16" s="9">
        <v>1.6</v>
      </c>
      <c r="AL16" s="9">
        <f>(AJ16)/10+100</f>
        <v>98.14</v>
      </c>
      <c r="AM16" s="9">
        <f>AK16/10</f>
        <v>0.16</v>
      </c>
      <c r="AN16" s="24">
        <f t="shared" si="14"/>
        <v>90.108468744564817</v>
      </c>
      <c r="AO16" s="68">
        <f>(1-(AN16/AL16))*100</f>
        <v>8.1837489865856821</v>
      </c>
      <c r="AP16" s="9">
        <v>76.31</v>
      </c>
      <c r="AQ16" s="20">
        <v>1</v>
      </c>
      <c r="AR16" s="14">
        <f>AN16*(AQ16/AP16+AB16/AA16)</f>
        <v>4.3942964707468732</v>
      </c>
      <c r="AS16" s="4">
        <f>AR16+AM16</f>
        <v>4.5542964707468734</v>
      </c>
      <c r="AT16" s="4"/>
      <c r="AU16" s="9">
        <v>380</v>
      </c>
      <c r="AV16" s="3">
        <f>AA16-47</f>
        <v>1327</v>
      </c>
      <c r="AW16" s="9">
        <f>AB16</f>
        <v>49</v>
      </c>
      <c r="AX16" s="3">
        <f t="shared" ref="AX16:AX24" si="16">-(Q16-1950)</f>
        <v>1294</v>
      </c>
      <c r="BA16" s="9">
        <v>0.35</v>
      </c>
      <c r="BB16" s="9">
        <v>101.3</v>
      </c>
      <c r="BC16" s="9">
        <v>0.5</v>
      </c>
      <c r="BD16" s="9">
        <v>675</v>
      </c>
      <c r="BE16" s="9">
        <f>1990-BD16</f>
        <v>1315</v>
      </c>
      <c r="BF16" s="9" t="s">
        <v>77</v>
      </c>
      <c r="BG16" s="9">
        <v>71</v>
      </c>
      <c r="BH16" s="9">
        <f>BH14+1</f>
        <v>5</v>
      </c>
      <c r="BI16" s="3">
        <v>1374</v>
      </c>
      <c r="BJ16" s="9">
        <v>49</v>
      </c>
      <c r="BM16" s="9">
        <v>0.1</v>
      </c>
      <c r="BN16" s="9">
        <f t="shared" si="9"/>
        <v>-424.02333167284178</v>
      </c>
      <c r="BR16" s="26">
        <f t="shared" si="15"/>
        <v>53.878802000883709</v>
      </c>
      <c r="BS16" s="9">
        <v>0.17</v>
      </c>
      <c r="BT16" s="9">
        <v>0.14000000000000001</v>
      </c>
      <c r="BU16" s="9">
        <v>71</v>
      </c>
      <c r="BV16" s="9">
        <v>0.59</v>
      </c>
      <c r="BW16" s="3"/>
      <c r="BX16" s="3"/>
      <c r="BY16" s="27"/>
      <c r="CE16" s="30"/>
      <c r="CF16" s="24"/>
      <c r="CG16" s="30"/>
      <c r="CH16" s="27"/>
      <c r="CI16" s="31"/>
      <c r="CL16" s="24"/>
      <c r="CM16" s="30"/>
      <c r="CN16" s="31"/>
    </row>
    <row r="17" spans="1:92" s="40" customFormat="1" x14ac:dyDescent="0.2">
      <c r="A17" s="40" t="s">
        <v>80</v>
      </c>
      <c r="B17" s="39" t="s">
        <v>81</v>
      </c>
      <c r="C17" s="17">
        <v>440</v>
      </c>
      <c r="D17" s="17">
        <v>1</v>
      </c>
      <c r="F17" s="39">
        <v>78.900000000000006</v>
      </c>
      <c r="G17" s="39">
        <v>0.2</v>
      </c>
      <c r="H17" s="81">
        <v>1905</v>
      </c>
      <c r="I17" s="40">
        <v>30</v>
      </c>
      <c r="J17" s="40">
        <v>9.4</v>
      </c>
      <c r="K17" s="9">
        <v>1.5</v>
      </c>
      <c r="L17" s="20">
        <f t="shared" si="0"/>
        <v>87.0860927152318</v>
      </c>
      <c r="M17" s="20">
        <f t="shared" si="6"/>
        <v>1.7</v>
      </c>
      <c r="N17" s="5">
        <f t="shared" si="7"/>
        <v>1110.7468900883441</v>
      </c>
      <c r="O17" s="21">
        <f t="shared" si="8"/>
        <v>156.83141356023782</v>
      </c>
      <c r="P17" s="9">
        <f t="shared" si="1"/>
        <v>440</v>
      </c>
      <c r="Q17" s="60">
        <f>(R17+S17)/2</f>
        <v>900.5</v>
      </c>
      <c r="R17" s="45">
        <v>769</v>
      </c>
      <c r="S17" s="45">
        <v>1032</v>
      </c>
      <c r="T17" s="46">
        <f t="shared" si="11"/>
        <v>1099.5</v>
      </c>
      <c r="U17" s="3">
        <f t="shared" si="12"/>
        <v>1231</v>
      </c>
      <c r="V17" s="3">
        <f t="shared" si="12"/>
        <v>968</v>
      </c>
      <c r="W17" s="46">
        <f t="shared" si="13"/>
        <v>131.5</v>
      </c>
      <c r="X17" s="9">
        <f t="shared" si="2"/>
        <v>440</v>
      </c>
      <c r="Y17" s="9"/>
      <c r="AA17" s="47">
        <v>1109</v>
      </c>
      <c r="AB17" s="47">
        <v>81</v>
      </c>
      <c r="AC17" s="6">
        <f t="shared" si="3"/>
        <v>1905</v>
      </c>
      <c r="AD17" s="6">
        <f t="shared" si="3"/>
        <v>30</v>
      </c>
      <c r="AF17" s="9">
        <f t="shared" si="4"/>
        <v>440</v>
      </c>
      <c r="AH17" s="44"/>
      <c r="AN17" s="33">
        <f t="shared" si="14"/>
        <v>90.227552857252007</v>
      </c>
      <c r="AO17" s="68"/>
      <c r="AQ17" s="65"/>
      <c r="AR17" s="69"/>
      <c r="AS17" s="70"/>
      <c r="AT17" s="70"/>
      <c r="AV17" s="44"/>
      <c r="AX17" s="44"/>
      <c r="BI17" s="44"/>
      <c r="BR17" s="53"/>
      <c r="BW17" s="44"/>
      <c r="BX17" s="44"/>
      <c r="BY17" s="54"/>
      <c r="CE17" s="56"/>
      <c r="CF17" s="57"/>
      <c r="CG17" s="56"/>
      <c r="CH17" s="54"/>
      <c r="CI17" s="58"/>
      <c r="CL17" s="57"/>
      <c r="CM17" s="56"/>
      <c r="CN17" s="58"/>
    </row>
    <row r="18" spans="1:92" s="9" customFormat="1" ht="11.25" x14ac:dyDescent="0.2">
      <c r="A18" s="9" t="s">
        <v>82</v>
      </c>
      <c r="B18" s="9" t="s">
        <v>83</v>
      </c>
      <c r="C18" s="17">
        <v>495</v>
      </c>
      <c r="D18" s="17">
        <v>1</v>
      </c>
      <c r="E18" s="9">
        <v>23.9</v>
      </c>
      <c r="F18" s="9">
        <v>74.92</v>
      </c>
      <c r="G18" s="18">
        <v>0.55000000000000004</v>
      </c>
      <c r="H18" s="19">
        <f t="shared" si="5"/>
        <v>2319.5231944752318</v>
      </c>
      <c r="I18" s="9">
        <v>60</v>
      </c>
      <c r="J18" s="9">
        <v>9.4</v>
      </c>
      <c r="K18" s="9">
        <v>1.5</v>
      </c>
      <c r="L18" s="20">
        <f t="shared" si="0"/>
        <v>82.693156732891836</v>
      </c>
      <c r="M18" s="20">
        <f t="shared" si="6"/>
        <v>2.0499999999999998</v>
      </c>
      <c r="N18" s="5">
        <f t="shared" si="7"/>
        <v>1526.5377838549771</v>
      </c>
      <c r="O18" s="21">
        <f t="shared" si="8"/>
        <v>199.18244001746882</v>
      </c>
      <c r="P18" s="9">
        <f t="shared" si="1"/>
        <v>495</v>
      </c>
      <c r="Q18" s="5">
        <f t="shared" si="10"/>
        <v>496.5</v>
      </c>
      <c r="R18" s="63">
        <v>314</v>
      </c>
      <c r="S18" s="63">
        <v>679</v>
      </c>
      <c r="T18" s="46">
        <f t="shared" si="11"/>
        <v>1503.5</v>
      </c>
      <c r="U18" s="3">
        <f t="shared" si="12"/>
        <v>1686</v>
      </c>
      <c r="V18" s="3">
        <f t="shared" si="12"/>
        <v>1321</v>
      </c>
      <c r="W18" s="46">
        <f t="shared" si="13"/>
        <v>182.5</v>
      </c>
      <c r="X18" s="9">
        <f t="shared" si="2"/>
        <v>495</v>
      </c>
      <c r="Z18" s="9" t="s">
        <v>84</v>
      </c>
      <c r="AA18" s="2">
        <v>1239</v>
      </c>
      <c r="AB18" s="17">
        <v>33</v>
      </c>
      <c r="AC18" s="6">
        <f t="shared" si="3"/>
        <v>2319.5231944752318</v>
      </c>
      <c r="AD18" s="6">
        <f t="shared" si="3"/>
        <v>60</v>
      </c>
      <c r="AF18" s="9">
        <f t="shared" si="4"/>
        <v>495</v>
      </c>
      <c r="AH18" s="3">
        <f>AA18-47</f>
        <v>1192</v>
      </c>
      <c r="AI18" s="9">
        <f>1997-AA18</f>
        <v>758</v>
      </c>
      <c r="AJ18" s="9">
        <v>-15.9</v>
      </c>
      <c r="AK18" s="9">
        <v>1.6</v>
      </c>
      <c r="AL18" s="9">
        <f>(AJ18)/10+100</f>
        <v>98.41</v>
      </c>
      <c r="AM18" s="9">
        <f>AK18/10</f>
        <v>0.16</v>
      </c>
      <c r="AN18" s="24">
        <f t="shared" si="14"/>
        <v>87.034130512220202</v>
      </c>
      <c r="AO18" s="68">
        <f>(1-(AN18/AL18))*100</f>
        <v>11.559668212356256</v>
      </c>
      <c r="AP18" s="9">
        <v>74.92</v>
      </c>
      <c r="AQ18" s="20">
        <v>0.55000000000000004</v>
      </c>
      <c r="AR18" s="14">
        <f>AN18*(AQ18/AP18+AB18/AA18)</f>
        <v>2.9570321461078009</v>
      </c>
      <c r="AS18" s="4">
        <f>AR18+AM18</f>
        <v>3.117032146107801</v>
      </c>
      <c r="AT18" s="4"/>
      <c r="AU18" s="9">
        <v>495</v>
      </c>
      <c r="AV18" s="3">
        <f>AA18-47</f>
        <v>1192</v>
      </c>
      <c r="AW18" s="9">
        <f>AB18</f>
        <v>33</v>
      </c>
      <c r="AX18" s="3">
        <f t="shared" si="16"/>
        <v>1453.5</v>
      </c>
      <c r="BA18" s="9">
        <v>0.35</v>
      </c>
      <c r="BB18" s="9">
        <v>91</v>
      </c>
      <c r="BC18" s="9">
        <v>0.5</v>
      </c>
      <c r="BD18" s="9">
        <v>912</v>
      </c>
      <c r="BE18" s="9">
        <f>1990-BD18</f>
        <v>1078</v>
      </c>
      <c r="BF18" s="9" t="s">
        <v>82</v>
      </c>
      <c r="BG18" s="9">
        <v>59.5</v>
      </c>
      <c r="BH18" s="9">
        <f>BH16+1</f>
        <v>6</v>
      </c>
      <c r="BI18" s="3">
        <v>1239</v>
      </c>
      <c r="BJ18" s="9">
        <v>33</v>
      </c>
      <c r="BK18" s="9">
        <v>-11.76</v>
      </c>
      <c r="BL18" s="9">
        <v>-5.33</v>
      </c>
      <c r="BM18" s="9">
        <v>0.1</v>
      </c>
      <c r="BN18" s="9">
        <f t="shared" si="9"/>
        <v>-511.50184729631087</v>
      </c>
      <c r="BR18" s="26">
        <f t="shared" si="15"/>
        <v>69.876862641737972</v>
      </c>
      <c r="BS18" s="9">
        <v>0.74</v>
      </c>
      <c r="BU18" s="9">
        <v>59.5</v>
      </c>
      <c r="BV18" s="9">
        <v>0.48</v>
      </c>
      <c r="BW18" s="3"/>
      <c r="BX18" s="3"/>
      <c r="BY18" s="27"/>
      <c r="BZ18" s="24"/>
      <c r="CB18" s="10"/>
      <c r="CD18" s="16"/>
      <c r="CE18" s="30"/>
      <c r="CF18" s="24"/>
      <c r="CG18" s="30"/>
      <c r="CH18" s="27"/>
      <c r="CI18" s="31"/>
      <c r="CL18" s="24"/>
      <c r="CM18" s="30"/>
      <c r="CN18" s="31"/>
    </row>
    <row r="19" spans="1:92" s="40" customFormat="1" x14ac:dyDescent="0.2">
      <c r="A19" s="39" t="s">
        <v>85</v>
      </c>
      <c r="B19" s="39" t="s">
        <v>86</v>
      </c>
      <c r="C19" s="17">
        <v>560</v>
      </c>
      <c r="D19" s="17">
        <v>1</v>
      </c>
      <c r="F19" s="39">
        <v>74.48</v>
      </c>
      <c r="G19" s="39">
        <v>0.2</v>
      </c>
      <c r="H19" s="43">
        <v>2365</v>
      </c>
      <c r="I19" s="40">
        <v>30</v>
      </c>
      <c r="J19" s="40">
        <v>9.4</v>
      </c>
      <c r="K19" s="9">
        <v>1.5</v>
      </c>
      <c r="L19" s="20">
        <f t="shared" si="0"/>
        <v>82.20750551876381</v>
      </c>
      <c r="M19" s="20">
        <f t="shared" si="6"/>
        <v>1.7</v>
      </c>
      <c r="N19" s="5">
        <f t="shared" si="7"/>
        <v>1573.8541187836186</v>
      </c>
      <c r="O19" s="21">
        <f t="shared" si="8"/>
        <v>166.14112093101903</v>
      </c>
      <c r="P19" s="9">
        <f t="shared" si="1"/>
        <v>560</v>
      </c>
      <c r="Q19" s="60">
        <f>(R19+S19)/2</f>
        <v>484.5</v>
      </c>
      <c r="R19" s="45">
        <v>326</v>
      </c>
      <c r="S19" s="45">
        <v>643</v>
      </c>
      <c r="T19" s="46">
        <f t="shared" si="11"/>
        <v>1515.5</v>
      </c>
      <c r="U19" s="3">
        <f t="shared" si="12"/>
        <v>1674</v>
      </c>
      <c r="V19" s="3">
        <f t="shared" si="12"/>
        <v>1357</v>
      </c>
      <c r="W19" s="46">
        <f t="shared" si="13"/>
        <v>158.5</v>
      </c>
      <c r="X19" s="9">
        <f t="shared" si="2"/>
        <v>560</v>
      </c>
      <c r="Y19" s="9"/>
      <c r="AA19" s="47">
        <v>1454</v>
      </c>
      <c r="AB19" s="47">
        <v>133</v>
      </c>
      <c r="AC19" s="6">
        <f t="shared" si="3"/>
        <v>2365</v>
      </c>
      <c r="AD19" s="6">
        <f t="shared" si="3"/>
        <v>30</v>
      </c>
      <c r="AF19" s="9">
        <f t="shared" si="4"/>
        <v>560</v>
      </c>
      <c r="AH19" s="44"/>
      <c r="AN19" s="57">
        <f t="shared" si="14"/>
        <v>88.802805426253471</v>
      </c>
      <c r="AO19" s="68"/>
      <c r="AQ19" s="65"/>
      <c r="AR19" s="69"/>
      <c r="AS19" s="70"/>
      <c r="AT19" s="70"/>
      <c r="AV19" s="44"/>
      <c r="AX19" s="44"/>
      <c r="BI19" s="44"/>
      <c r="BR19" s="53"/>
      <c r="BW19" s="44"/>
      <c r="BX19" s="44"/>
      <c r="BY19" s="54"/>
      <c r="BZ19" s="57"/>
      <c r="CB19" s="71"/>
      <c r="CD19" s="72"/>
      <c r="CE19" s="56"/>
      <c r="CF19" s="57"/>
      <c r="CG19" s="82"/>
      <c r="CH19" s="54"/>
      <c r="CI19" s="72"/>
      <c r="CL19" s="57"/>
      <c r="CM19" s="56"/>
      <c r="CN19" s="58"/>
    </row>
    <row r="20" spans="1:92" s="9" customFormat="1" ht="11.25" x14ac:dyDescent="0.2">
      <c r="A20" s="9" t="s">
        <v>87</v>
      </c>
      <c r="B20" s="9" t="s">
        <v>88</v>
      </c>
      <c r="C20" s="17">
        <v>665</v>
      </c>
      <c r="D20" s="17">
        <v>1</v>
      </c>
      <c r="E20" s="9">
        <v>15.9</v>
      </c>
      <c r="F20" s="9">
        <v>68.58</v>
      </c>
      <c r="G20" s="18">
        <v>0.6</v>
      </c>
      <c r="H20" s="19">
        <f t="shared" si="5"/>
        <v>3029.8004965119962</v>
      </c>
      <c r="I20" s="9">
        <v>70</v>
      </c>
      <c r="J20" s="9">
        <v>9.4</v>
      </c>
      <c r="K20" s="9">
        <v>1.5</v>
      </c>
      <c r="L20" s="20">
        <f t="shared" si="0"/>
        <v>75.695364238410605</v>
      </c>
      <c r="M20" s="20">
        <f t="shared" si="6"/>
        <v>2.1</v>
      </c>
      <c r="N20" s="5">
        <f t="shared" si="7"/>
        <v>2236.815085891742</v>
      </c>
      <c r="O20" s="21">
        <f t="shared" si="8"/>
        <v>222.91497049589032</v>
      </c>
      <c r="P20" s="9">
        <f t="shared" si="1"/>
        <v>665</v>
      </c>
      <c r="Q20" s="3">
        <f t="shared" si="10"/>
        <v>-290.5</v>
      </c>
      <c r="R20" s="63">
        <v>-544</v>
      </c>
      <c r="S20" s="63">
        <v>-37</v>
      </c>
      <c r="T20" s="46">
        <f t="shared" si="11"/>
        <v>2290.5</v>
      </c>
      <c r="U20" s="3">
        <f t="shared" si="12"/>
        <v>2544</v>
      </c>
      <c r="V20" s="3">
        <f t="shared" si="12"/>
        <v>2037</v>
      </c>
      <c r="W20" s="46">
        <f t="shared" si="13"/>
        <v>253.5</v>
      </c>
      <c r="X20" s="9">
        <f t="shared" si="2"/>
        <v>665</v>
      </c>
      <c r="AA20" s="2"/>
      <c r="AB20" s="17"/>
      <c r="AC20" s="6">
        <f t="shared" si="3"/>
        <v>3029.8004965119962</v>
      </c>
      <c r="AD20" s="6">
        <f t="shared" si="3"/>
        <v>70</v>
      </c>
      <c r="AF20" s="9">
        <f t="shared" si="4"/>
        <v>665</v>
      </c>
      <c r="AH20" s="3"/>
      <c r="AN20" s="3"/>
      <c r="AO20" s="83"/>
      <c r="AP20" s="9">
        <v>68.58</v>
      </c>
      <c r="AQ20" s="20">
        <v>0.6</v>
      </c>
      <c r="AR20" s="64"/>
      <c r="AS20" s="3"/>
      <c r="AT20" s="3"/>
      <c r="AU20" s="9">
        <v>665</v>
      </c>
      <c r="AV20" s="3"/>
      <c r="AX20" s="3">
        <f t="shared" si="16"/>
        <v>2240.5</v>
      </c>
      <c r="BA20" s="9">
        <v>0.65</v>
      </c>
      <c r="BB20" s="9">
        <v>91</v>
      </c>
      <c r="BC20" s="9">
        <v>0.6</v>
      </c>
      <c r="BF20" s="9" t="s">
        <v>87</v>
      </c>
      <c r="BG20" s="9">
        <v>42.5</v>
      </c>
      <c r="BH20" s="9">
        <f>BH18+1</f>
        <v>7</v>
      </c>
      <c r="BI20" s="3"/>
      <c r="BK20" s="9">
        <v>-10.9</v>
      </c>
      <c r="BL20" s="9">
        <v>-5.0999999999999996</v>
      </c>
      <c r="BM20" s="9">
        <v>0.1</v>
      </c>
      <c r="BN20" s="9">
        <f t="shared" si="9"/>
        <v>-599.91597976015214</v>
      </c>
      <c r="BR20" s="26">
        <f t="shared" si="15"/>
        <v>68.597891902782493</v>
      </c>
      <c r="BS20" s="9">
        <v>0.24</v>
      </c>
      <c r="BT20" s="9">
        <v>0.26</v>
      </c>
      <c r="BU20" s="9">
        <v>42.5</v>
      </c>
      <c r="BW20" s="3"/>
      <c r="BX20" s="3"/>
      <c r="BY20" s="27"/>
      <c r="CE20" s="30"/>
      <c r="CF20" s="24"/>
      <c r="CL20" s="24"/>
      <c r="CM20" s="30"/>
      <c r="CN20" s="31"/>
    </row>
    <row r="21" spans="1:92" s="40" customFormat="1" x14ac:dyDescent="0.2">
      <c r="A21" s="39" t="s">
        <v>89</v>
      </c>
      <c r="B21" s="39" t="s">
        <v>90</v>
      </c>
      <c r="C21" s="17">
        <v>680</v>
      </c>
      <c r="D21" s="17">
        <v>1</v>
      </c>
      <c r="F21" s="39">
        <v>68.709999999999994</v>
      </c>
      <c r="G21" s="39">
        <v>0.2</v>
      </c>
      <c r="H21" s="43">
        <v>3015</v>
      </c>
      <c r="I21" s="40">
        <v>30</v>
      </c>
      <c r="J21" s="40">
        <v>9.4</v>
      </c>
      <c r="K21" s="9">
        <v>1.5</v>
      </c>
      <c r="L21" s="20">
        <f t="shared" si="0"/>
        <v>75.838852097130243</v>
      </c>
      <c r="M21" s="20">
        <f t="shared" si="6"/>
        <v>1.7</v>
      </c>
      <c r="N21" s="5">
        <f t="shared" si="7"/>
        <v>2221.6021743597894</v>
      </c>
      <c r="O21" s="21">
        <f t="shared" si="8"/>
        <v>180.09750404270926</v>
      </c>
      <c r="P21" s="9">
        <f t="shared" si="1"/>
        <v>680</v>
      </c>
      <c r="Q21" s="44">
        <f t="shared" si="10"/>
        <v>-233</v>
      </c>
      <c r="R21" s="45">
        <v>-427</v>
      </c>
      <c r="S21" s="45">
        <v>-39</v>
      </c>
      <c r="T21" s="46">
        <f t="shared" si="11"/>
        <v>2233</v>
      </c>
      <c r="U21" s="3">
        <f t="shared" si="12"/>
        <v>2427</v>
      </c>
      <c r="V21" s="3">
        <f t="shared" si="12"/>
        <v>2039</v>
      </c>
      <c r="W21" s="46">
        <f t="shared" si="13"/>
        <v>194</v>
      </c>
      <c r="X21" s="9">
        <f t="shared" si="2"/>
        <v>680</v>
      </c>
      <c r="Y21" s="9"/>
      <c r="Z21" s="73" t="s">
        <v>91</v>
      </c>
      <c r="AA21" s="74">
        <v>2420</v>
      </c>
      <c r="AB21" s="73">
        <v>40</v>
      </c>
      <c r="AC21" s="75">
        <f t="shared" si="3"/>
        <v>3015</v>
      </c>
      <c r="AD21" s="75">
        <f t="shared" si="3"/>
        <v>30</v>
      </c>
      <c r="AE21" s="73"/>
      <c r="AF21" s="73">
        <f t="shared" si="4"/>
        <v>680</v>
      </c>
      <c r="AG21" s="73"/>
      <c r="AH21" s="74">
        <f>AA21-63</f>
        <v>2357</v>
      </c>
      <c r="AI21" s="73">
        <f>2013-AA21</f>
        <v>-407</v>
      </c>
      <c r="AJ21" s="73">
        <v>-11.6</v>
      </c>
      <c r="AK21" s="73">
        <v>1.5</v>
      </c>
      <c r="AL21" s="73">
        <f>(AJ21)/10+100</f>
        <v>98.84</v>
      </c>
      <c r="AM21" s="73">
        <f>AK21/10</f>
        <v>0.15</v>
      </c>
      <c r="AN21" s="76">
        <f>F21/EXP(-(LN(2)/5730)*(AA21))</f>
        <v>92.078137510108448</v>
      </c>
      <c r="AO21" s="77">
        <f>(1-(AN21/AL21))*100</f>
        <v>6.8412206494248835</v>
      </c>
      <c r="AP21" s="73"/>
      <c r="AQ21" s="78"/>
      <c r="AR21" s="84"/>
      <c r="AS21" s="80">
        <f>AR21+AM21</f>
        <v>0.15</v>
      </c>
      <c r="AT21" s="74"/>
      <c r="AU21" s="73"/>
      <c r="AV21" s="74"/>
      <c r="AW21" s="73"/>
      <c r="AX21" s="74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4"/>
      <c r="BJ21" s="73"/>
      <c r="BK21" s="73"/>
      <c r="BL21" s="73"/>
      <c r="BM21" s="73"/>
      <c r="BN21" s="73"/>
      <c r="BO21" s="73"/>
      <c r="BP21" s="73"/>
      <c r="BR21" s="53"/>
      <c r="BW21" s="44"/>
      <c r="BX21" s="44"/>
      <c r="BY21" s="54"/>
      <c r="CE21" s="56"/>
      <c r="CF21" s="57"/>
      <c r="CL21" s="57"/>
      <c r="CM21" s="56"/>
      <c r="CN21" s="58"/>
    </row>
    <row r="22" spans="1:92" s="9" customFormat="1" ht="11.25" x14ac:dyDescent="0.2">
      <c r="A22" s="9" t="s">
        <v>92</v>
      </c>
      <c r="B22" s="9" t="s">
        <v>93</v>
      </c>
      <c r="C22" s="17">
        <v>844</v>
      </c>
      <c r="D22" s="17">
        <v>1</v>
      </c>
      <c r="E22" s="9">
        <v>25</v>
      </c>
      <c r="F22" s="9">
        <v>65.06</v>
      </c>
      <c r="G22" s="18">
        <v>0.55000000000000004</v>
      </c>
      <c r="H22" s="19">
        <f t="shared" si="5"/>
        <v>3453.0675082862022</v>
      </c>
      <c r="I22" s="9">
        <v>60</v>
      </c>
      <c r="J22" s="9">
        <v>9.4</v>
      </c>
      <c r="K22" s="9">
        <v>1.5</v>
      </c>
      <c r="L22" s="20">
        <f t="shared" si="0"/>
        <v>71.810154525386324</v>
      </c>
      <c r="M22" s="20">
        <f t="shared" si="6"/>
        <v>2.0499999999999998</v>
      </c>
      <c r="N22" s="5">
        <f t="shared" si="7"/>
        <v>2660.0820976659475</v>
      </c>
      <c r="O22" s="21">
        <f t="shared" si="8"/>
        <v>229.38435081446346</v>
      </c>
      <c r="P22" s="9">
        <f t="shared" si="1"/>
        <v>844</v>
      </c>
      <c r="Q22" s="3">
        <f t="shared" si="10"/>
        <v>-783</v>
      </c>
      <c r="R22" s="63">
        <v>-1058</v>
      </c>
      <c r="S22" s="63">
        <v>-508</v>
      </c>
      <c r="T22" s="46">
        <f t="shared" si="11"/>
        <v>2783</v>
      </c>
      <c r="U22" s="3">
        <f t="shared" si="12"/>
        <v>3058</v>
      </c>
      <c r="V22" s="3">
        <f t="shared" si="12"/>
        <v>2508</v>
      </c>
      <c r="W22" s="46">
        <f t="shared" si="13"/>
        <v>275</v>
      </c>
      <c r="X22" s="9">
        <f t="shared" si="2"/>
        <v>844</v>
      </c>
      <c r="Z22" s="9" t="s">
        <v>94</v>
      </c>
      <c r="AA22" s="2">
        <v>2586</v>
      </c>
      <c r="AB22" s="17">
        <v>86</v>
      </c>
      <c r="AC22" s="6">
        <f t="shared" si="3"/>
        <v>3453.0675082862022</v>
      </c>
      <c r="AD22" s="6">
        <f t="shared" si="3"/>
        <v>60</v>
      </c>
      <c r="AF22" s="9">
        <f t="shared" si="4"/>
        <v>844</v>
      </c>
      <c r="AH22" s="3">
        <f>AA22-47</f>
        <v>2539</v>
      </c>
      <c r="AI22" s="9">
        <f>1997-AA22</f>
        <v>-589</v>
      </c>
      <c r="AJ22" s="9">
        <v>-2.6</v>
      </c>
      <c r="AK22" s="9">
        <v>1.7</v>
      </c>
      <c r="AL22" s="9">
        <f>(AJ22)/10+100</f>
        <v>99.74</v>
      </c>
      <c r="AM22" s="9">
        <f>AK22/10</f>
        <v>0.16999999999999998</v>
      </c>
      <c r="AN22" s="24">
        <f>F22/EXP(-(LN(2)/5730)*(AA22))</f>
        <v>88.955248106336029</v>
      </c>
      <c r="AO22" s="68">
        <f>(1-(AN22/AL22))*100</f>
        <v>10.81286534355721</v>
      </c>
      <c r="AP22" s="9">
        <v>65.06</v>
      </c>
      <c r="AQ22" s="20">
        <v>0.55000000000000004</v>
      </c>
      <c r="AR22" s="14">
        <f>AN22*(AQ22/AP22+AB22/AA22)</f>
        <v>3.710299276224581</v>
      </c>
      <c r="AS22" s="4">
        <f>AR22+AM22</f>
        <v>3.8802992762245809</v>
      </c>
      <c r="AT22" s="4"/>
      <c r="AU22" s="9">
        <v>844</v>
      </c>
      <c r="AV22" s="3">
        <f>AA22-47</f>
        <v>2539</v>
      </c>
      <c r="AW22" s="9">
        <f>AB22</f>
        <v>86</v>
      </c>
      <c r="AX22" s="3">
        <f t="shared" si="16"/>
        <v>2733</v>
      </c>
      <c r="BA22" s="9">
        <v>0.65</v>
      </c>
      <c r="BB22" s="9">
        <v>80.400000000000006</v>
      </c>
      <c r="BC22" s="9">
        <v>0.6</v>
      </c>
      <c r="BF22" s="9" t="s">
        <v>92</v>
      </c>
      <c r="BG22" s="9">
        <v>24.6</v>
      </c>
      <c r="BH22" s="9">
        <f>BH20+1</f>
        <v>8</v>
      </c>
      <c r="BI22" s="3">
        <v>2586</v>
      </c>
      <c r="BJ22" s="9">
        <v>86</v>
      </c>
      <c r="BK22" s="9">
        <v>-10.88</v>
      </c>
      <c r="BL22" s="9">
        <v>-4.82</v>
      </c>
      <c r="BM22" s="9">
        <v>0.1</v>
      </c>
      <c r="BN22" s="9">
        <f t="shared" si="9"/>
        <v>-689.28595920248836</v>
      </c>
      <c r="BR22" s="26">
        <f t="shared" si="15"/>
        <v>73.843028180884616</v>
      </c>
      <c r="BS22" s="9">
        <v>0.33</v>
      </c>
      <c r="BT22" s="9">
        <v>0.26</v>
      </c>
      <c r="BU22" s="9">
        <v>24.6</v>
      </c>
      <c r="BV22" s="10"/>
      <c r="BW22" s="3"/>
      <c r="BX22" s="3"/>
      <c r="BY22" s="27"/>
      <c r="CE22" s="30"/>
      <c r="CF22" s="24"/>
      <c r="CL22" s="24"/>
      <c r="CM22" s="30"/>
      <c r="CN22" s="31"/>
    </row>
    <row r="23" spans="1:92" s="9" customFormat="1" ht="11.25" x14ac:dyDescent="0.2">
      <c r="A23" s="9" t="s">
        <v>95</v>
      </c>
      <c r="B23" s="9" t="s">
        <v>96</v>
      </c>
      <c r="C23" s="17">
        <v>1040</v>
      </c>
      <c r="D23" s="17">
        <v>1</v>
      </c>
      <c r="E23" s="9">
        <v>27</v>
      </c>
      <c r="F23" s="9">
        <v>63.43</v>
      </c>
      <c r="G23" s="18">
        <v>0.55000000000000004</v>
      </c>
      <c r="H23" s="19">
        <f t="shared" si="5"/>
        <v>3656.8886999995802</v>
      </c>
      <c r="I23" s="9">
        <v>70</v>
      </c>
      <c r="J23" s="9">
        <v>9.4</v>
      </c>
      <c r="K23" s="9">
        <v>1.5</v>
      </c>
      <c r="L23" s="20">
        <f t="shared" si="0"/>
        <v>70.011037527593828</v>
      </c>
      <c r="M23" s="20">
        <f t="shared" si="6"/>
        <v>2.0499999999999998</v>
      </c>
      <c r="N23" s="5">
        <f t="shared" si="7"/>
        <v>2863.9032893793246</v>
      </c>
      <c r="O23" s="21">
        <f t="shared" si="8"/>
        <v>235.28231209621799</v>
      </c>
      <c r="P23" s="9">
        <f t="shared" si="1"/>
        <v>1040</v>
      </c>
      <c r="Q23" s="3">
        <f t="shared" si="10"/>
        <v>-1067</v>
      </c>
      <c r="R23" s="63">
        <v>-1321</v>
      </c>
      <c r="S23" s="63">
        <v>-813</v>
      </c>
      <c r="T23" s="46">
        <f t="shared" si="11"/>
        <v>3067</v>
      </c>
      <c r="U23" s="3">
        <f t="shared" si="12"/>
        <v>3321</v>
      </c>
      <c r="V23" s="3">
        <f t="shared" si="12"/>
        <v>2813</v>
      </c>
      <c r="W23" s="46">
        <f t="shared" si="13"/>
        <v>254</v>
      </c>
      <c r="X23" s="9">
        <f t="shared" si="2"/>
        <v>1040</v>
      </c>
      <c r="AA23" s="2"/>
      <c r="AB23" s="17"/>
      <c r="AC23" s="6">
        <f t="shared" si="3"/>
        <v>3656.8886999995802</v>
      </c>
      <c r="AD23" s="6">
        <f t="shared" si="3"/>
        <v>70</v>
      </c>
      <c r="AF23" s="9">
        <f t="shared" si="4"/>
        <v>1040</v>
      </c>
      <c r="AH23" s="3"/>
      <c r="AN23" s="3"/>
      <c r="AO23" s="83"/>
      <c r="AP23" s="9">
        <v>63.43</v>
      </c>
      <c r="AQ23" s="20">
        <v>0.55000000000000004</v>
      </c>
      <c r="AR23" s="64"/>
      <c r="AS23" s="3"/>
      <c r="AT23" s="3"/>
      <c r="AU23" s="9">
        <v>1040</v>
      </c>
      <c r="AV23" s="3"/>
      <c r="AX23" s="3">
        <f t="shared" si="16"/>
        <v>3017</v>
      </c>
      <c r="AZ23" s="9">
        <v>0.17</v>
      </c>
      <c r="BA23" s="9">
        <v>0.14000000000000001</v>
      </c>
      <c r="BB23" s="9">
        <v>80.400000000000006</v>
      </c>
      <c r="BC23" s="9">
        <v>0.59</v>
      </c>
      <c r="BF23" s="9" t="s">
        <v>95</v>
      </c>
      <c r="BG23" s="9">
        <v>5</v>
      </c>
      <c r="BH23" s="9">
        <f t="shared" ref="BH23:BH31" si="17">BH22+1</f>
        <v>9</v>
      </c>
      <c r="BI23" s="3"/>
      <c r="BK23" s="9">
        <v>-10.53</v>
      </c>
      <c r="BL23" s="9">
        <v>-4.58</v>
      </c>
      <c r="BM23" s="9">
        <v>0.1</v>
      </c>
      <c r="BN23" s="9">
        <f t="shared" si="9"/>
        <v>-779.63267907064267</v>
      </c>
      <c r="BR23" s="26">
        <f t="shared" si="15"/>
        <v>70.248507260769486</v>
      </c>
      <c r="BS23" s="9">
        <v>0.87</v>
      </c>
      <c r="BT23" s="9">
        <v>0.48</v>
      </c>
      <c r="BU23" s="9">
        <v>5</v>
      </c>
      <c r="BV23" s="10"/>
      <c r="BW23" s="3"/>
      <c r="BX23" s="3"/>
      <c r="BY23" s="27"/>
      <c r="CE23" s="30"/>
      <c r="CF23" s="24"/>
      <c r="CL23" s="24"/>
      <c r="CM23" s="30"/>
      <c r="CN23" s="31"/>
    </row>
    <row r="24" spans="1:92" s="9" customFormat="1" ht="11.25" x14ac:dyDescent="0.2">
      <c r="A24" s="9" t="s">
        <v>97</v>
      </c>
      <c r="B24" s="9" t="s">
        <v>98</v>
      </c>
      <c r="C24" s="17">
        <v>1075</v>
      </c>
      <c r="D24" s="17">
        <v>1</v>
      </c>
      <c r="E24" s="9">
        <v>77.599999999999994</v>
      </c>
      <c r="F24" s="9">
        <v>62.28</v>
      </c>
      <c r="G24" s="18">
        <v>0.55000000000000004</v>
      </c>
      <c r="H24" s="19">
        <f t="shared" si="5"/>
        <v>3803.8651968660856</v>
      </c>
      <c r="I24" s="9">
        <v>70</v>
      </c>
      <c r="J24" s="9">
        <v>9.4</v>
      </c>
      <c r="K24" s="9">
        <v>1.5</v>
      </c>
      <c r="L24" s="20">
        <f t="shared" si="0"/>
        <v>68.741721854304643</v>
      </c>
      <c r="M24" s="20">
        <f t="shared" si="6"/>
        <v>2.0499999999999998</v>
      </c>
      <c r="N24" s="5">
        <f t="shared" si="7"/>
        <v>3010.8797862458318</v>
      </c>
      <c r="O24" s="21">
        <f t="shared" si="8"/>
        <v>239.62935364267196</v>
      </c>
      <c r="P24" s="9">
        <f t="shared" si="1"/>
        <v>1075</v>
      </c>
      <c r="Q24" s="3">
        <f t="shared" si="10"/>
        <v>-1214</v>
      </c>
      <c r="R24" s="63">
        <v>-1499</v>
      </c>
      <c r="S24" s="63">
        <v>-929</v>
      </c>
      <c r="T24" s="46">
        <f t="shared" si="11"/>
        <v>3214</v>
      </c>
      <c r="U24" s="3">
        <f t="shared" si="12"/>
        <v>3499</v>
      </c>
      <c r="V24" s="3">
        <f t="shared" si="12"/>
        <v>2929</v>
      </c>
      <c r="W24" s="46">
        <f t="shared" si="13"/>
        <v>285</v>
      </c>
      <c r="X24" s="9">
        <f t="shared" si="2"/>
        <v>1075</v>
      </c>
      <c r="Z24" s="9" t="s">
        <v>99</v>
      </c>
      <c r="AA24" s="2">
        <v>3067</v>
      </c>
      <c r="AB24" s="17">
        <v>91</v>
      </c>
      <c r="AC24" s="6">
        <f t="shared" si="3"/>
        <v>3803.8651968660856</v>
      </c>
      <c r="AD24" s="6">
        <f t="shared" si="3"/>
        <v>70</v>
      </c>
      <c r="AF24" s="9">
        <f t="shared" si="4"/>
        <v>1075</v>
      </c>
      <c r="AH24" s="3">
        <f>AA24-47</f>
        <v>3020</v>
      </c>
      <c r="AI24" s="9">
        <f>1997-AA24</f>
        <v>-1070</v>
      </c>
      <c r="AJ24" s="9">
        <v>4.4000000000000004</v>
      </c>
      <c r="AK24" s="9">
        <v>1.8</v>
      </c>
      <c r="AL24" s="9">
        <f>(AJ24)/10+100</f>
        <v>100.44</v>
      </c>
      <c r="AM24" s="9">
        <f>AK24/10</f>
        <v>0.18</v>
      </c>
      <c r="AN24" s="24">
        <f>F24/EXP(-(LN(2)/5730)*(AA24))</f>
        <v>90.255947227741899</v>
      </c>
      <c r="AO24" s="68">
        <f>(1-(AN24/AL24))*100</f>
        <v>10.139439239603842</v>
      </c>
      <c r="AP24" s="9">
        <v>62.28</v>
      </c>
      <c r="AQ24" s="20">
        <v>0.55000000000000004</v>
      </c>
      <c r="AR24" s="14">
        <f>AN24*(AQ24/AP24+AB24/AA24)</f>
        <v>3.475014027206345</v>
      </c>
      <c r="AS24" s="4">
        <f>AR24+AM24</f>
        <v>3.6550140272063452</v>
      </c>
      <c r="AT24" s="4"/>
      <c r="AU24" s="9">
        <v>1075</v>
      </c>
      <c r="AV24" s="3">
        <f>AA24-47</f>
        <v>3020</v>
      </c>
      <c r="AW24" s="9">
        <f>AB24</f>
        <v>91</v>
      </c>
      <c r="AX24" s="3">
        <f t="shared" si="16"/>
        <v>3164</v>
      </c>
      <c r="AZ24" s="9">
        <v>0.17</v>
      </c>
      <c r="BA24" s="9">
        <v>0.14000000000000001</v>
      </c>
      <c r="BB24" s="9">
        <v>71</v>
      </c>
      <c r="BC24" s="9">
        <v>0.59</v>
      </c>
      <c r="BF24" s="9" t="s">
        <v>97</v>
      </c>
      <c r="BG24" s="9">
        <v>1.5</v>
      </c>
      <c r="BH24" s="9">
        <f>BH23+1</f>
        <v>10</v>
      </c>
      <c r="BI24" s="3">
        <v>3067</v>
      </c>
      <c r="BJ24" s="9">
        <v>91</v>
      </c>
      <c r="BK24" s="9">
        <v>-10.73</v>
      </c>
      <c r="BL24" s="9">
        <v>-5.4</v>
      </c>
      <c r="BM24" s="9">
        <v>0.1</v>
      </c>
      <c r="BN24" s="9">
        <f t="shared" si="9"/>
        <v>-870.97772544013628</v>
      </c>
      <c r="BR24" s="26">
        <f t="shared" si="15"/>
        <v>70.788219833709576</v>
      </c>
      <c r="BS24" s="9">
        <v>0.16</v>
      </c>
      <c r="BT24" s="9">
        <v>0.48</v>
      </c>
      <c r="BU24" s="9">
        <v>1.5</v>
      </c>
      <c r="BV24" s="10"/>
      <c r="BW24" s="3"/>
      <c r="BX24" s="3"/>
      <c r="BY24" s="27"/>
      <c r="BZ24" s="24"/>
      <c r="CB24" s="10"/>
      <c r="CD24" s="16"/>
      <c r="CE24" s="30"/>
      <c r="CF24" s="24"/>
      <c r="CG24" s="30"/>
      <c r="CH24" s="27"/>
      <c r="CI24" s="31"/>
      <c r="CL24" s="24"/>
      <c r="CM24" s="30"/>
      <c r="CN24" s="31"/>
    </row>
    <row r="25" spans="1:92" s="10" customFormat="1" ht="11.25" x14ac:dyDescent="0.2">
      <c r="C25" s="17">
        <v>1070</v>
      </c>
      <c r="D25" s="85"/>
      <c r="F25" s="9">
        <v>62.28</v>
      </c>
      <c r="G25" s="18">
        <v>0.55000000000000004</v>
      </c>
      <c r="H25" s="19">
        <f>-8033*LN(F25/100)</f>
        <v>3803.8651968660856</v>
      </c>
      <c r="I25" s="9">
        <v>70</v>
      </c>
      <c r="N25" s="21"/>
      <c r="Q25" s="3"/>
      <c r="T25" s="8"/>
      <c r="U25" s="1"/>
      <c r="V25" s="1"/>
      <c r="W25" s="8"/>
      <c r="Z25" s="86" t="s">
        <v>100</v>
      </c>
      <c r="AA25" s="87">
        <v>3200</v>
      </c>
      <c r="AB25" s="73">
        <v>90</v>
      </c>
      <c r="AC25" s="75"/>
      <c r="AD25" s="86"/>
      <c r="AE25" s="86"/>
      <c r="AF25" s="73">
        <f t="shared" si="4"/>
        <v>1070</v>
      </c>
      <c r="AG25" s="86"/>
      <c r="AH25" s="74">
        <f>AA25-63</f>
        <v>3137</v>
      </c>
      <c r="AI25" s="73">
        <f>2013-AA25</f>
        <v>-1187</v>
      </c>
      <c r="AJ25" s="73">
        <v>13.5</v>
      </c>
      <c r="AK25" s="86">
        <v>2</v>
      </c>
      <c r="AL25" s="73">
        <f>(AJ25)/10+100</f>
        <v>101.35</v>
      </c>
      <c r="AM25" s="73">
        <f>AK25/10</f>
        <v>0.2</v>
      </c>
      <c r="AN25" s="76">
        <f>F25/EXP(-(LN(2)/5730)*(AA25))</f>
        <v>91.71979737785567</v>
      </c>
      <c r="AO25" s="77">
        <f>(1-(AN25/AL25))*100</f>
        <v>9.5019266128705695</v>
      </c>
      <c r="AP25" s="86"/>
      <c r="AQ25" s="86"/>
      <c r="AR25" s="76"/>
      <c r="AS25" s="80">
        <f>AR25+AM25</f>
        <v>0.2</v>
      </c>
      <c r="AT25" s="87"/>
      <c r="AU25" s="86"/>
      <c r="AV25" s="86"/>
      <c r="AW25" s="86"/>
      <c r="AX25" s="86"/>
      <c r="AY25" s="86"/>
      <c r="AZ25" s="73">
        <v>0.74</v>
      </c>
      <c r="BA25" s="73"/>
      <c r="BB25" s="73">
        <v>71</v>
      </c>
      <c r="BC25" s="73">
        <v>0.48</v>
      </c>
      <c r="BD25" s="86"/>
      <c r="BE25" s="86"/>
      <c r="BF25" s="86"/>
      <c r="BG25" s="86"/>
      <c r="BH25" s="73">
        <f t="shared" si="17"/>
        <v>11</v>
      </c>
      <c r="BI25" s="87"/>
      <c r="BJ25" s="87"/>
      <c r="BK25" s="86"/>
      <c r="BL25" s="86"/>
      <c r="BM25" s="86"/>
      <c r="BN25" s="73">
        <f t="shared" si="9"/>
        <v>-963.34340797171319</v>
      </c>
      <c r="BO25" s="86"/>
      <c r="BP25" s="86"/>
      <c r="BU25" s="9"/>
      <c r="BW25" s="1"/>
      <c r="BX25" s="1"/>
    </row>
    <row r="26" spans="1:92" s="9" customFormat="1" ht="11.25" x14ac:dyDescent="0.2">
      <c r="C26" s="17"/>
      <c r="D26" s="17"/>
      <c r="G26" s="18"/>
      <c r="H26" s="19"/>
      <c r="I26" s="19"/>
      <c r="L26" s="20"/>
      <c r="M26" s="20"/>
      <c r="N26" s="19"/>
      <c r="O26" s="21"/>
      <c r="Q26" s="3"/>
      <c r="R26" s="22"/>
      <c r="S26" s="22"/>
      <c r="T26" s="2"/>
      <c r="U26" s="3"/>
      <c r="V26" s="3"/>
      <c r="W26" s="2"/>
      <c r="AA26" s="2"/>
      <c r="AB26" s="17"/>
      <c r="AC26" s="19"/>
      <c r="AI26" s="3"/>
      <c r="AN26" s="24"/>
      <c r="AO26" s="88"/>
      <c r="AQ26" s="20"/>
      <c r="AR26" s="14"/>
      <c r="AS26" s="4"/>
      <c r="AT26" s="4"/>
      <c r="AV26" s="3"/>
      <c r="AX26" s="3"/>
      <c r="BI26" s="3"/>
      <c r="BR26" s="26"/>
      <c r="BV26" s="10"/>
      <c r="BW26" s="3"/>
      <c r="BX26" s="3"/>
      <c r="BY26" s="27"/>
      <c r="BZ26" s="24"/>
      <c r="CB26" s="10"/>
      <c r="CD26" s="16"/>
      <c r="CE26" s="30"/>
      <c r="CF26" s="24"/>
      <c r="CG26" s="30"/>
      <c r="CH26" s="27"/>
      <c r="CI26" s="31"/>
      <c r="CL26" s="24"/>
      <c r="CM26" s="30"/>
      <c r="CN26" s="31"/>
    </row>
    <row r="27" spans="1:92" s="10" customFormat="1" ht="10.5" x14ac:dyDescent="0.15">
      <c r="C27" s="85"/>
      <c r="D27" s="85"/>
      <c r="F27" s="9"/>
      <c r="G27" s="64"/>
      <c r="H27" s="19"/>
      <c r="N27" s="21"/>
      <c r="Q27" s="3"/>
      <c r="T27" s="8"/>
      <c r="U27" s="1"/>
      <c r="V27" s="1"/>
      <c r="W27" s="8"/>
      <c r="AA27" s="8"/>
      <c r="AB27" s="17"/>
      <c r="AC27" s="21"/>
      <c r="AI27" s="1"/>
      <c r="AJ27" s="9"/>
      <c r="AL27" s="1"/>
      <c r="AM27" s="1"/>
      <c r="AN27" s="1"/>
      <c r="AO27" s="88"/>
      <c r="AP27" s="89">
        <f>AVERAGE(AO3:AO25)</f>
        <v>9.3152553568145091</v>
      </c>
      <c r="AR27" s="24"/>
      <c r="AS27" s="1"/>
      <c r="AT27" s="90">
        <f>AVERAGE(AS10:AS24)</f>
        <v>2.9899537462032493</v>
      </c>
      <c r="AZ27" s="9">
        <v>0.24</v>
      </c>
      <c r="BA27" s="9">
        <v>0.26</v>
      </c>
      <c r="BB27" s="9">
        <v>59.5</v>
      </c>
      <c r="BC27" s="9"/>
      <c r="BH27" s="9">
        <f>BH32+1</f>
        <v>13</v>
      </c>
      <c r="BI27" s="1"/>
      <c r="BJ27" s="1"/>
      <c r="BK27" s="10">
        <f>STDEV(BK2:BK24)</f>
        <v>1.0957080105778398</v>
      </c>
      <c r="BN27" s="9">
        <f t="shared" si="9"/>
        <v>-1151.2297361959595</v>
      </c>
      <c r="BV27" s="91"/>
    </row>
    <row r="28" spans="1:92" s="10" customFormat="1" ht="15.75" x14ac:dyDescent="0.2">
      <c r="C28" s="85"/>
      <c r="D28" s="85"/>
      <c r="F28" s="9"/>
      <c r="G28" s="64"/>
      <c r="H28" s="19"/>
      <c r="N28" s="21"/>
      <c r="Q28" s="3"/>
      <c r="T28" s="8"/>
      <c r="U28" s="1"/>
      <c r="V28" s="1"/>
      <c r="W28" s="8"/>
      <c r="Y28" s="92" t="s">
        <v>101</v>
      </c>
      <c r="AA28" s="8"/>
      <c r="AB28" s="17"/>
      <c r="AC28" s="21"/>
      <c r="AI28" s="1"/>
      <c r="AJ28" s="9"/>
      <c r="AL28" s="1"/>
      <c r="AM28" s="1"/>
      <c r="AN28" s="1"/>
      <c r="AO28" s="88"/>
      <c r="AP28" s="10" t="s">
        <v>102</v>
      </c>
      <c r="AR28" s="24"/>
      <c r="AS28" s="1"/>
      <c r="AT28" s="1"/>
      <c r="AZ28" s="9">
        <v>0.24</v>
      </c>
      <c r="BA28" s="9">
        <v>0.26</v>
      </c>
      <c r="BB28" s="9">
        <v>42.5</v>
      </c>
      <c r="BC28" s="9"/>
      <c r="BH28" s="9">
        <f t="shared" si="17"/>
        <v>14</v>
      </c>
      <c r="BI28" s="1"/>
      <c r="BJ28" s="1"/>
      <c r="BN28" s="9">
        <f t="shared" si="9"/>
        <v>-1246.7989229661516</v>
      </c>
      <c r="BV28"/>
    </row>
    <row r="29" spans="1:92" s="10" customFormat="1" x14ac:dyDescent="0.2">
      <c r="C29" s="85"/>
      <c r="D29" s="85"/>
      <c r="F29" s="9"/>
      <c r="G29" s="64">
        <v>1</v>
      </c>
      <c r="H29" s="64">
        <v>96.64</v>
      </c>
      <c r="I29" s="10">
        <f>8033*LN((H29-G29)/100)</f>
        <v>-358.10345561587178</v>
      </c>
      <c r="N29" s="21"/>
      <c r="Q29" s="3"/>
      <c r="T29" s="8"/>
      <c r="U29" s="1"/>
      <c r="V29" s="1"/>
      <c r="W29" s="8"/>
      <c r="Y29" s="92" t="s">
        <v>103</v>
      </c>
      <c r="AA29" s="8"/>
      <c r="AB29" s="17"/>
      <c r="AC29" s="21"/>
      <c r="AI29" s="1"/>
      <c r="AJ29" s="9"/>
      <c r="AL29" s="1"/>
      <c r="AM29" s="1"/>
      <c r="AN29" s="1"/>
      <c r="AO29" s="88"/>
      <c r="AP29">
        <f>STDEV(AO3:AO25)</f>
        <v>1.467668242805795</v>
      </c>
      <c r="AQ29" s="10">
        <v>1</v>
      </c>
      <c r="AR29" s="24"/>
      <c r="AS29" s="1"/>
      <c r="AT29" s="1"/>
      <c r="AZ29" s="9">
        <v>0.33</v>
      </c>
      <c r="BA29" s="9">
        <v>0.26</v>
      </c>
      <c r="BB29" s="9">
        <v>42.5</v>
      </c>
      <c r="BC29" s="9"/>
      <c r="BH29" s="9">
        <f t="shared" si="17"/>
        <v>15</v>
      </c>
      <c r="BI29" s="1"/>
      <c r="BJ29" s="1"/>
      <c r="BN29" s="9">
        <f t="shared" si="9"/>
        <v>-1343.4859033401417</v>
      </c>
      <c r="BV29"/>
    </row>
    <row r="30" spans="1:92" s="10" customFormat="1" x14ac:dyDescent="0.2">
      <c r="C30" s="85"/>
      <c r="D30" s="85"/>
      <c r="F30" s="9"/>
      <c r="G30" s="64"/>
      <c r="H30" s="19"/>
      <c r="I30" s="10">
        <f>8033*LN((H29+G29)/100)</f>
        <v>-191.85166074194598</v>
      </c>
      <c r="J30" s="10">
        <f>(I30-I29)/2</f>
        <v>83.125897436962902</v>
      </c>
      <c r="N30" s="21"/>
      <c r="Q30" s="3"/>
      <c r="T30" s="8"/>
      <c r="U30" s="1"/>
      <c r="V30" s="1"/>
      <c r="W30" s="8"/>
      <c r="AA30" s="8"/>
      <c r="AB30" s="17"/>
      <c r="AC30" s="21"/>
      <c r="AI30" s="1"/>
      <c r="AJ30" s="9"/>
      <c r="AK30" s="9"/>
      <c r="AL30" s="9"/>
      <c r="AM30" s="1"/>
      <c r="AN30" s="1"/>
      <c r="AO30" s="88"/>
      <c r="AR30" s="24"/>
      <c r="AS30" s="1"/>
      <c r="AT30" s="1"/>
      <c r="AZ30" s="9">
        <v>0.33</v>
      </c>
      <c r="BA30" s="9">
        <v>0.26</v>
      </c>
      <c r="BB30" s="9">
        <v>24.6</v>
      </c>
      <c r="BH30" s="9">
        <f t="shared" si="17"/>
        <v>16</v>
      </c>
      <c r="BI30" s="1"/>
      <c r="BJ30" s="1"/>
      <c r="BN30" s="9">
        <f t="shared" si="9"/>
        <v>-1441.3171348868764</v>
      </c>
      <c r="BV30"/>
    </row>
    <row r="31" spans="1:92" s="10" customFormat="1" x14ac:dyDescent="0.2">
      <c r="C31" s="85"/>
      <c r="D31" s="85"/>
      <c r="F31" s="9"/>
      <c r="G31" s="64"/>
      <c r="H31" s="19"/>
      <c r="N31" s="21"/>
      <c r="Q31" s="3"/>
      <c r="T31" s="8"/>
      <c r="U31" s="1"/>
      <c r="V31" s="1"/>
      <c r="W31" s="8"/>
      <c r="AA31" s="8"/>
      <c r="AB31" s="17"/>
      <c r="AC31" s="21"/>
      <c r="AI31" s="1"/>
      <c r="AJ31" s="9"/>
      <c r="AL31" s="1"/>
      <c r="AM31" s="1"/>
      <c r="AN31" s="1"/>
      <c r="AO31" s="88"/>
      <c r="AR31" s="24"/>
      <c r="AS31" s="1"/>
      <c r="AT31" s="1"/>
      <c r="AZ31" s="9">
        <v>0.87</v>
      </c>
      <c r="BA31" s="9">
        <v>0.48</v>
      </c>
      <c r="BB31" s="9">
        <v>24.6</v>
      </c>
      <c r="BH31" s="9">
        <f t="shared" si="17"/>
        <v>17</v>
      </c>
      <c r="BI31" s="1"/>
      <c r="BJ31" s="1"/>
      <c r="BN31" s="9">
        <f>5730/LN(2)*LN((100-BH31)/100)</f>
        <v>-1540.320025791294</v>
      </c>
      <c r="BV31"/>
    </row>
    <row r="32" spans="1:92" s="91" customFormat="1" x14ac:dyDescent="0.2">
      <c r="A32" s="91" t="s">
        <v>104</v>
      </c>
      <c r="B32" s="91" t="s">
        <v>105</v>
      </c>
      <c r="C32" s="93">
        <v>520</v>
      </c>
      <c r="D32" s="94">
        <v>0.5</v>
      </c>
      <c r="E32" s="91">
        <v>1.5</v>
      </c>
      <c r="F32" s="91">
        <v>75.260000000000005</v>
      </c>
      <c r="G32" s="18">
        <v>1.4</v>
      </c>
      <c r="H32" s="19">
        <f>-8033*LN(F32/100)</f>
        <v>2283.1505128095532</v>
      </c>
      <c r="I32" s="91">
        <v>150</v>
      </c>
      <c r="L32" s="20"/>
      <c r="M32" s="20"/>
      <c r="N32" s="19">
        <f>H32</f>
        <v>2283.1505128095532</v>
      </c>
      <c r="O32" s="91">
        <v>150</v>
      </c>
      <c r="P32" s="91">
        <v>-52</v>
      </c>
      <c r="Q32" s="95">
        <v>-400</v>
      </c>
      <c r="R32" s="20">
        <v>-550</v>
      </c>
      <c r="S32" s="20">
        <v>-100</v>
      </c>
      <c r="T32" s="46">
        <f>2000-Q32</f>
        <v>2400</v>
      </c>
      <c r="U32" s="3">
        <f>(1990-R32)</f>
        <v>2540</v>
      </c>
      <c r="V32" s="3">
        <f>(1990-S32)</f>
        <v>2090</v>
      </c>
      <c r="W32" s="2"/>
      <c r="X32" s="9">
        <f>C32</f>
        <v>520</v>
      </c>
      <c r="AA32" s="93"/>
      <c r="AB32" s="94"/>
      <c r="AC32" s="96"/>
      <c r="AF32" s="91">
        <v>-52</v>
      </c>
      <c r="AI32" s="97"/>
      <c r="AL32" s="97"/>
      <c r="AM32" s="97"/>
      <c r="AN32" s="97"/>
      <c r="AO32" s="98"/>
      <c r="AP32" s="91">
        <v>75.260000000000005</v>
      </c>
      <c r="AQ32" s="20">
        <v>1.4</v>
      </c>
      <c r="AR32" s="99"/>
      <c r="AS32" s="97"/>
      <c r="AT32" s="97"/>
      <c r="AZ32" s="9">
        <v>0.87</v>
      </c>
      <c r="BA32" s="9">
        <v>0.48</v>
      </c>
      <c r="BB32" s="9">
        <v>5</v>
      </c>
      <c r="BC32" s="10"/>
      <c r="BF32" s="91" t="s">
        <v>104</v>
      </c>
      <c r="BG32" s="91">
        <v>-52</v>
      </c>
      <c r="BH32" s="9">
        <f>BH25+1</f>
        <v>12</v>
      </c>
      <c r="BI32" s="97"/>
      <c r="BJ32" s="97"/>
      <c r="BK32" s="91">
        <v>-23.4</v>
      </c>
      <c r="BL32" s="91">
        <v>-11</v>
      </c>
      <c r="BN32" s="9">
        <f>5730/LN(2)*LN((100-BH32)/100)</f>
        <v>-1056.7527926174591</v>
      </c>
      <c r="BU32" s="91">
        <v>-52</v>
      </c>
      <c r="BV32"/>
      <c r="BW32" s="97"/>
      <c r="BX32" s="97"/>
      <c r="BY32" s="27"/>
    </row>
    <row r="33" spans="12:66" x14ac:dyDescent="0.2">
      <c r="AZ33" s="9">
        <v>0.16</v>
      </c>
      <c r="BA33" s="9">
        <v>0.48</v>
      </c>
      <c r="BB33" s="9">
        <v>5</v>
      </c>
      <c r="BC33" s="10"/>
      <c r="BH33" s="107"/>
      <c r="BN33" s="107"/>
    </row>
    <row r="34" spans="12:66" x14ac:dyDescent="0.2">
      <c r="AZ34" s="9">
        <v>0.16</v>
      </c>
      <c r="BA34" s="9">
        <v>0.48</v>
      </c>
      <c r="BB34" s="9">
        <v>1.5</v>
      </c>
      <c r="BC34" s="10"/>
      <c r="BH34" s="107"/>
      <c r="BN34" s="107"/>
    </row>
    <row r="35" spans="12:66" x14ac:dyDescent="0.2">
      <c r="L35">
        <f>5568/LN(2)</f>
        <v>8032.9259876697488</v>
      </c>
      <c r="AZ35" s="10"/>
      <c r="BA35" s="10"/>
      <c r="BB35" s="9"/>
      <c r="BC35" s="10"/>
      <c r="BH35" s="107"/>
      <c r="BN35" s="107"/>
    </row>
    <row r="36" spans="12:66" x14ac:dyDescent="0.2">
      <c r="AZ36" s="10"/>
      <c r="BA36" s="10"/>
      <c r="BB36" s="10"/>
      <c r="BC36" s="10"/>
      <c r="BH36" s="107"/>
      <c r="BN36" s="107"/>
    </row>
    <row r="37" spans="12:66" x14ac:dyDescent="0.2">
      <c r="AZ37" s="10"/>
      <c r="BA37" s="10"/>
      <c r="BB37" s="10"/>
      <c r="BC37" s="91"/>
      <c r="BH37" s="107"/>
      <c r="BN37" s="107"/>
    </row>
    <row r="38" spans="12:66" x14ac:dyDescent="0.2">
      <c r="AZ38" s="10"/>
      <c r="BA38" s="10"/>
      <c r="BB38" s="10"/>
      <c r="BH38" s="107"/>
      <c r="BN38" s="107"/>
    </row>
    <row r="39" spans="12:66" x14ac:dyDescent="0.2">
      <c r="AZ39" s="10"/>
      <c r="BA39" s="10"/>
      <c r="BB39" s="10"/>
      <c r="BH39" s="107"/>
      <c r="BN39" s="107"/>
    </row>
    <row r="40" spans="12:66" x14ac:dyDescent="0.2">
      <c r="AZ40" s="10"/>
      <c r="BA40" s="10"/>
      <c r="BB40" s="10"/>
      <c r="BH40" s="107"/>
      <c r="BN40" s="107"/>
    </row>
    <row r="41" spans="12:66" x14ac:dyDescent="0.2">
      <c r="AZ41" s="10"/>
      <c r="BA41" s="10"/>
      <c r="BB41" s="10"/>
      <c r="BH41" s="107"/>
      <c r="BN41" s="107"/>
    </row>
    <row r="42" spans="12:66" x14ac:dyDescent="0.2">
      <c r="AZ42" s="91"/>
      <c r="BA42" s="91"/>
      <c r="BB42" s="91">
        <v>-52</v>
      </c>
      <c r="BH42" s="107"/>
      <c r="BN42" s="107"/>
    </row>
  </sheetData>
  <printOptions gridLines="1" gridLinesSet="0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VIL1C14-calcul-dcp-U-Th</vt:lpstr>
    </vt:vector>
  </TitlesOfParts>
  <Company>Univ Bordeaux CNRS OASU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DEVAUX</dc:creator>
  <cp:lastModifiedBy>Ludovic DEVAUX</cp:lastModifiedBy>
  <dcterms:created xsi:type="dcterms:W3CDTF">2023-06-23T08:20:39Z</dcterms:created>
  <dcterms:modified xsi:type="dcterms:W3CDTF">2023-06-23T08:21:43Z</dcterms:modified>
</cp:coreProperties>
</file>