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F:\DG\STM\FRANCE\Chauvet\Chau-stm3\"/>
    </mc:Choice>
  </mc:AlternateContent>
  <xr:revisionPtr revIDLastSave="0" documentId="8_{74B4AD73-F7D3-43A9-9EA6-D74715D219A7}" xr6:coauthVersionLast="36" xr6:coauthVersionMax="36" xr10:uidLastSave="{00000000-0000-0000-0000-000000000000}"/>
  <bookViews>
    <workbookView xWindow="240" yWindow="120" windowWidth="9192" windowHeight="4968"/>
  </bookViews>
  <sheets>
    <sheet name="Chau3-dcp " sheetId="7" r:id="rId1"/>
    <sheet name="GR-Conv." sheetId="6" r:id="rId2"/>
    <sheet name="GR" sheetId="4" r:id="rId3"/>
    <sheet name="Chau3(dcp=10)" sheetId="3" r:id="rId4"/>
    <sheet name="Chau3 (dcp corr)" sheetId="5" r:id="rId5"/>
  </sheets>
  <calcPr calcId="191029"/>
</workbook>
</file>

<file path=xl/calcChain.xml><?xml version="1.0" encoding="utf-8"?>
<calcChain xmlns="http://schemas.openxmlformats.org/spreadsheetml/2006/main">
  <c r="L5" i="7" l="1"/>
  <c r="O5" i="7" s="1"/>
  <c r="AZ5" i="7" s="1"/>
  <c r="M5" i="7"/>
  <c r="L4" i="7"/>
  <c r="M4" i="7"/>
  <c r="O4" i="7"/>
  <c r="AZ4" i="7" s="1"/>
  <c r="N4" i="7"/>
  <c r="AY4" i="7" s="1"/>
  <c r="L3" i="7"/>
  <c r="N3" i="7" s="1"/>
  <c r="AY3" i="7" s="1"/>
  <c r="M3" i="7"/>
  <c r="L2" i="7"/>
  <c r="O2" i="7" s="1"/>
  <c r="AZ2" i="7" s="1"/>
  <c r="M2" i="7"/>
  <c r="N2" i="7"/>
  <c r="AY2" i="7" s="1"/>
  <c r="AX5" i="7"/>
  <c r="AX4" i="7"/>
  <c r="AX3" i="7"/>
  <c r="AX2" i="7"/>
  <c r="AW5" i="7"/>
  <c r="AW4" i="7"/>
  <c r="AW3" i="7"/>
  <c r="AW2" i="7"/>
  <c r="AS2" i="7"/>
  <c r="AR2" i="7"/>
  <c r="AP2" i="7"/>
  <c r="AT2" i="7" s="1"/>
  <c r="AU2" i="7" s="1"/>
  <c r="AO2" i="7"/>
  <c r="AN2" i="7"/>
  <c r="AP3" i="7"/>
  <c r="AT3" i="7" s="1"/>
  <c r="AU3" i="7" s="1"/>
  <c r="AN3" i="7"/>
  <c r="AQ3" i="7"/>
  <c r="AP4" i="7"/>
  <c r="AN4" i="7"/>
  <c r="AQ4" i="7"/>
  <c r="AP5" i="7"/>
  <c r="AQ5" i="7" s="1"/>
  <c r="AN5" i="7"/>
  <c r="AK2" i="7"/>
  <c r="H2" i="7"/>
  <c r="Q2" i="7"/>
  <c r="T2" i="7" s="1"/>
  <c r="U2" i="7"/>
  <c r="V2" i="7"/>
  <c r="W2" i="7"/>
  <c r="H3" i="7"/>
  <c r="Q3" i="7"/>
  <c r="T3" i="7"/>
  <c r="U3" i="7"/>
  <c r="W3" i="7" s="1"/>
  <c r="V3" i="7"/>
  <c r="AK3" i="7"/>
  <c r="AO3" i="7"/>
  <c r="AR3" i="7"/>
  <c r="AS3" i="7"/>
  <c r="H4" i="7"/>
  <c r="Q4" i="7"/>
  <c r="T4" i="7" s="1"/>
  <c r="U4" i="7"/>
  <c r="V4" i="7"/>
  <c r="W4" i="7"/>
  <c r="AK4" i="7"/>
  <c r="AO4" i="7"/>
  <c r="AR4" i="7"/>
  <c r="AS4" i="7"/>
  <c r="AT4" i="7"/>
  <c r="AU4" i="7" s="1"/>
  <c r="H5" i="7"/>
  <c r="Q5" i="7"/>
  <c r="T5" i="7" s="1"/>
  <c r="U5" i="7"/>
  <c r="V5" i="7"/>
  <c r="W5" i="7"/>
  <c r="AK5" i="7"/>
  <c r="AO5" i="7"/>
  <c r="AR5" i="7"/>
  <c r="AS5" i="7"/>
  <c r="H6" i="7"/>
  <c r="N6" i="7" s="1"/>
  <c r="O6" i="7"/>
  <c r="AP5" i="3"/>
  <c r="AT5" i="3" s="1"/>
  <c r="AU5" i="3" s="1"/>
  <c r="AS5" i="3"/>
  <c r="AR5" i="3"/>
  <c r="AO5" i="3"/>
  <c r="AN5" i="3"/>
  <c r="AK5" i="3"/>
  <c r="AP4" i="3"/>
  <c r="AS4" i="3"/>
  <c r="AR4" i="3"/>
  <c r="AT4" i="3"/>
  <c r="AU4" i="3" s="1"/>
  <c r="AO4" i="3"/>
  <c r="AN4" i="3"/>
  <c r="AQ4" i="3" s="1"/>
  <c r="AK4" i="3"/>
  <c r="U7" i="5"/>
  <c r="W7" i="5" s="1"/>
  <c r="V7" i="5"/>
  <c r="U5" i="5"/>
  <c r="W5" i="5" s="1"/>
  <c r="V5" i="5"/>
  <c r="U4" i="5"/>
  <c r="V4" i="5"/>
  <c r="W4" i="5"/>
  <c r="Q7" i="5"/>
  <c r="T7" i="5"/>
  <c r="Q5" i="5"/>
  <c r="T5" i="5" s="1"/>
  <c r="Q4" i="5"/>
  <c r="T4" i="5" s="1"/>
  <c r="J7" i="5"/>
  <c r="J6" i="5"/>
  <c r="J5" i="5"/>
  <c r="J4" i="5"/>
  <c r="J3" i="5"/>
  <c r="J2" i="5"/>
  <c r="AR6" i="5"/>
  <c r="AV6" i="5" s="1"/>
  <c r="AW6" i="5" s="1"/>
  <c r="AU6" i="5"/>
  <c r="AT6" i="5"/>
  <c r="AQ6" i="5"/>
  <c r="AP6" i="5"/>
  <c r="AS6" i="5" s="1"/>
  <c r="AM6" i="5"/>
  <c r="Y9" i="5"/>
  <c r="Y8" i="5"/>
  <c r="Y7" i="5"/>
  <c r="Y6" i="5"/>
  <c r="Y5" i="5"/>
  <c r="Y4" i="5"/>
  <c r="Y3" i="5"/>
  <c r="Y2" i="5"/>
  <c r="X9" i="5"/>
  <c r="X8" i="5"/>
  <c r="X7" i="5"/>
  <c r="X6" i="5"/>
  <c r="X5" i="5"/>
  <c r="X4" i="5"/>
  <c r="X3" i="5"/>
  <c r="X2" i="5"/>
  <c r="L7" i="5"/>
  <c r="O7" i="5" s="1"/>
  <c r="M7" i="5"/>
  <c r="H7" i="5"/>
  <c r="L5" i="5"/>
  <c r="N5" i="5" s="1"/>
  <c r="M5" i="5"/>
  <c r="O5" i="5"/>
  <c r="H5" i="5"/>
  <c r="L4" i="5"/>
  <c r="M4" i="5"/>
  <c r="O4" i="5"/>
  <c r="N4" i="5"/>
  <c r="H18" i="5"/>
  <c r="H4" i="5"/>
  <c r="AR3" i="5"/>
  <c r="AS3" i="5" s="1"/>
  <c r="AP3" i="5"/>
  <c r="AU3" i="5"/>
  <c r="AT3" i="5"/>
  <c r="AQ3" i="5"/>
  <c r="AM3" i="5"/>
  <c r="AR2" i="5"/>
  <c r="AU2" i="5"/>
  <c r="AT2" i="5"/>
  <c r="AV2" i="5"/>
  <c r="AW2" i="5" s="1"/>
  <c r="AQ2" i="5"/>
  <c r="AP2" i="5"/>
  <c r="AM2" i="5"/>
  <c r="U6" i="5"/>
  <c r="V6" i="5"/>
  <c r="W6" i="5"/>
  <c r="U3" i="5"/>
  <c r="V3" i="5"/>
  <c r="W3" i="5"/>
  <c r="Q6" i="5"/>
  <c r="T6" i="5" s="1"/>
  <c r="Q3" i="5"/>
  <c r="T3" i="5"/>
  <c r="L3" i="5"/>
  <c r="M3" i="5"/>
  <c r="O3" i="5"/>
  <c r="N3" i="5"/>
  <c r="H3" i="5"/>
  <c r="L6" i="5"/>
  <c r="O6" i="5" s="1"/>
  <c r="M6" i="5"/>
  <c r="H6" i="5"/>
  <c r="O9" i="5"/>
  <c r="H9" i="5"/>
  <c r="N9" i="5"/>
  <c r="U8" i="5"/>
  <c r="V8" i="5"/>
  <c r="W8" i="5"/>
  <c r="Q8" i="5"/>
  <c r="T8" i="5"/>
  <c r="L8" i="5"/>
  <c r="N8" i="5" s="1"/>
  <c r="M8" i="5"/>
  <c r="O8" i="5"/>
  <c r="H8" i="5"/>
  <c r="U2" i="5"/>
  <c r="V2" i="5"/>
  <c r="W2" i="5" s="1"/>
  <c r="Q2" i="5"/>
  <c r="T2" i="5"/>
  <c r="L2" i="5"/>
  <c r="O2" i="5" s="1"/>
  <c r="M2" i="5"/>
  <c r="H2" i="5"/>
  <c r="BP2" i="5"/>
  <c r="AP3" i="3"/>
  <c r="AT3" i="3" s="1"/>
  <c r="AU3" i="3" s="1"/>
  <c r="AS3" i="3"/>
  <c r="AR3" i="3"/>
  <c r="AO3" i="3"/>
  <c r="AN3" i="3"/>
  <c r="AK3" i="3"/>
  <c r="U4" i="3"/>
  <c r="W4" i="3" s="1"/>
  <c r="V4" i="3"/>
  <c r="U3" i="3"/>
  <c r="V3" i="3"/>
  <c r="W3" i="3" s="1"/>
  <c r="Q4" i="3"/>
  <c r="T4" i="3"/>
  <c r="Q3" i="3"/>
  <c r="T3" i="3"/>
  <c r="L3" i="3"/>
  <c r="O3" i="3" s="1"/>
  <c r="M3" i="3"/>
  <c r="H3" i="3"/>
  <c r="L4" i="3"/>
  <c r="N4" i="3" s="1"/>
  <c r="M4" i="3"/>
  <c r="O4" i="3"/>
  <c r="H4" i="3"/>
  <c r="O6" i="3"/>
  <c r="H6" i="3"/>
  <c r="N6" i="3"/>
  <c r="U5" i="3"/>
  <c r="V5" i="3"/>
  <c r="W5" i="3"/>
  <c r="Q5" i="3"/>
  <c r="T5" i="3" s="1"/>
  <c r="L5" i="3"/>
  <c r="N5" i="3" s="1"/>
  <c r="M5" i="3"/>
  <c r="O5" i="3" s="1"/>
  <c r="H5" i="3"/>
  <c r="U2" i="3"/>
  <c r="W2" i="3" s="1"/>
  <c r="V2" i="3"/>
  <c r="Q2" i="3"/>
  <c r="T2" i="3"/>
  <c r="L2" i="3"/>
  <c r="O2" i="3" s="1"/>
  <c r="M2" i="3"/>
  <c r="N2" i="3"/>
  <c r="H2" i="3"/>
  <c r="BN2" i="3"/>
  <c r="O3" i="7" l="1"/>
  <c r="AZ3" i="7" s="1"/>
  <c r="AT5" i="7"/>
  <c r="AU5" i="7" s="1"/>
  <c r="N2" i="5"/>
  <c r="AQ5" i="3"/>
  <c r="AQ2" i="7"/>
  <c r="AQ7" i="7" s="1"/>
  <c r="AV3" i="5"/>
  <c r="AW3" i="5" s="1"/>
  <c r="AQ3" i="3"/>
  <c r="N5" i="7"/>
  <c r="AY5" i="7" s="1"/>
  <c r="N3" i="3"/>
  <c r="N6" i="5"/>
  <c r="N7" i="5"/>
</calcChain>
</file>

<file path=xl/sharedStrings.xml><?xml version="1.0" encoding="utf-8"?>
<sst xmlns="http://schemas.openxmlformats.org/spreadsheetml/2006/main" count="254" uniqueCount="71">
  <si>
    <t>Sample</t>
  </si>
  <si>
    <t>Lab. Number</t>
  </si>
  <si>
    <t>mm/top</t>
  </si>
  <si>
    <t>error</t>
  </si>
  <si>
    <t>mg</t>
  </si>
  <si>
    <t>14C Act. pMC</t>
  </si>
  <si>
    <t xml:space="preserve">error </t>
  </si>
  <si>
    <t>Conv. 14C age / year BP</t>
  </si>
  <si>
    <t>dcp %</t>
  </si>
  <si>
    <t>dcp cor. Ages</t>
  </si>
  <si>
    <t>error+</t>
  </si>
  <si>
    <t>error-</t>
  </si>
  <si>
    <t>total error</t>
  </si>
  <si>
    <t>cm/base</t>
  </si>
  <si>
    <t>U/TH sample</t>
  </si>
  <si>
    <t>U/Th ages</t>
  </si>
  <si>
    <t>CALCUL DCP</t>
  </si>
  <si>
    <t>U/Th ages cal. A.D./B.C.</t>
  </si>
  <si>
    <t>atm. D 14C act. from U/Th ages and calibration curve (Stuiver and Reimer, 93)</t>
  </si>
  <si>
    <t>D14C error</t>
  </si>
  <si>
    <t>atm. A 14C act. from U/Th ages and calibration curve (Stuiver and Reimer, 93), pMC</t>
  </si>
  <si>
    <t>error on Ai, from U/Th error and Stuiver curve pMC</t>
  </si>
  <si>
    <t>A 14C m init. pMC</t>
  </si>
  <si>
    <t>error on A 14C m init. pMC</t>
  </si>
  <si>
    <t>error on dcp, pMC</t>
  </si>
  <si>
    <t>U/Th ages /1950</t>
  </si>
  <si>
    <t>14C Growth rate mm/yr</t>
  </si>
  <si>
    <t>U/Th Growth rate mm/yr</t>
  </si>
  <si>
    <t>laminae Growth rte mm/yr</t>
  </si>
  <si>
    <t>Laminae age/1990</t>
  </si>
  <si>
    <t>Lami. date AD</t>
  </si>
  <si>
    <t>SAMPLE</t>
  </si>
  <si>
    <t>d13C / PDB</t>
  </si>
  <si>
    <t>d18O / PDB</t>
  </si>
  <si>
    <t>error isot.</t>
  </si>
  <si>
    <t>years</t>
  </si>
  <si>
    <t>% aug. Erreur due à dcp</t>
  </si>
  <si>
    <t>14C-C</t>
  </si>
  <si>
    <t>ET ERREUR DCP:</t>
  </si>
  <si>
    <t>mm/base</t>
  </si>
  <si>
    <t>Calibrated corrected (dcp=10%) 14C ages / cal. Years</t>
  </si>
  <si>
    <t xml:space="preserve">dcp corrected 14C act. pMC </t>
  </si>
  <si>
    <t>Chau3-14C-A</t>
  </si>
  <si>
    <t>H2444/PA785</t>
  </si>
  <si>
    <t>Chau3-14C-B</t>
  </si>
  <si>
    <t>H2457/PA786</t>
  </si>
  <si>
    <t>d13C</t>
  </si>
  <si>
    <t>d18O</t>
  </si>
  <si>
    <t>Chau3-Ch</t>
  </si>
  <si>
    <t>H2439/B1006</t>
  </si>
  <si>
    <t>charbon</t>
  </si>
  <si>
    <t>Chau3-14C-C</t>
  </si>
  <si>
    <t>H2474/PA805</t>
  </si>
  <si>
    <t>Chau3-14C-E</t>
  </si>
  <si>
    <t>H2599/PA815</t>
  </si>
  <si>
    <t>14C age/2000 (dcp=10 and cal.)</t>
  </si>
  <si>
    <t xml:space="preserve">14C age/2000 </t>
  </si>
  <si>
    <t>Chau-stm3-U/Th-Abis</t>
  </si>
  <si>
    <t>Chau-stm3-U/Th-D</t>
  </si>
  <si>
    <t>Chau3-14C-F</t>
  </si>
  <si>
    <t>H2643</t>
  </si>
  <si>
    <t>Chau3-14C-G</t>
  </si>
  <si>
    <t>H2639</t>
  </si>
  <si>
    <t>Chau3-14C-H</t>
  </si>
  <si>
    <t>H2642</t>
  </si>
  <si>
    <t>Cal. Corr.14C ages / cal. Years</t>
  </si>
  <si>
    <t>Chau-stm3-U/Th-E</t>
  </si>
  <si>
    <t>interpollés</t>
  </si>
  <si>
    <t>U/Th ages (interpolated)/2000</t>
  </si>
  <si>
    <t>U/Th age /1950</t>
  </si>
  <si>
    <t>Chau3 Conv. 14C age dcp corr.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</si>
</sst>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00"/>
  </numFmts>
  <fonts count="49" x14ac:knownFonts="1">
    <font>
      <sz val="10"/>
      <name val="MS Sans Serif"/>
    </font>
    <font>
      <b/>
      <sz val="10"/>
      <name val="MS Sans Serif"/>
    </font>
    <font>
      <sz val="10"/>
      <name val="Arial"/>
    </font>
    <font>
      <b/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8"/>
      <name val="MS Sans Serif"/>
    </font>
    <font>
      <sz val="8"/>
      <name val="MS Sans Serif"/>
    </font>
    <font>
      <b/>
      <sz val="8"/>
      <name val="Arial"/>
    </font>
    <font>
      <sz val="8"/>
      <name val="Arial"/>
    </font>
    <font>
      <i/>
      <sz val="8"/>
      <name val="Arial"/>
    </font>
    <font>
      <i/>
      <sz val="8"/>
      <name val="MS Sans Serif"/>
    </font>
    <font>
      <b/>
      <i/>
      <sz val="8"/>
      <name val="MS Sans Serif"/>
    </font>
    <font>
      <b/>
      <sz val="8"/>
      <name val="MS Sans Serif"/>
      <family val="2"/>
    </font>
    <font>
      <b/>
      <sz val="8"/>
      <color indexed="10"/>
      <name val="MS Sans Serif"/>
      <family val="2"/>
    </font>
    <font>
      <sz val="8"/>
      <color indexed="10"/>
      <name val="MS Sans Serif"/>
      <family val="2"/>
    </font>
    <font>
      <sz val="8"/>
      <color indexed="10"/>
      <name val="MS Sans Serif"/>
    </font>
    <font>
      <sz val="8"/>
      <color indexed="10"/>
      <name val="Arial"/>
    </font>
    <font>
      <b/>
      <sz val="8"/>
      <color indexed="10"/>
      <name val="MS Sans Serif"/>
    </font>
    <font>
      <i/>
      <sz val="8"/>
      <name val="MS Sans Serif"/>
      <family val="2"/>
    </font>
    <font>
      <b/>
      <sz val="8"/>
      <color indexed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trike/>
      <sz val="10"/>
      <name val="Arial"/>
    </font>
    <font>
      <strike/>
      <sz val="8"/>
      <name val="MS Sans Serif"/>
    </font>
    <font>
      <b/>
      <strike/>
      <sz val="8"/>
      <name val="MS Sans Serif"/>
      <family val="2"/>
    </font>
    <font>
      <b/>
      <i/>
      <strike/>
      <sz val="8"/>
      <name val="MS Sans Serif"/>
    </font>
    <font>
      <strike/>
      <sz val="10"/>
      <name val="MS Sans Serif"/>
    </font>
    <font>
      <i/>
      <strike/>
      <sz val="8"/>
      <name val="MS Sans Serif"/>
    </font>
    <font>
      <strike/>
      <sz val="8"/>
      <name val="Arial"/>
    </font>
    <font>
      <i/>
      <strike/>
      <sz val="8"/>
      <name val="MS Sans Serif"/>
      <family val="2"/>
    </font>
    <font>
      <sz val="8"/>
      <color indexed="12"/>
      <name val="MS Sans Serif"/>
    </font>
    <font>
      <sz val="8"/>
      <color indexed="12"/>
      <name val="Arial"/>
    </font>
    <font>
      <sz val="8"/>
      <color indexed="12"/>
      <name val="MS Sans Serif"/>
      <family val="2"/>
    </font>
    <font>
      <b/>
      <sz val="8"/>
      <color indexed="12"/>
      <name val="MS Sans Serif"/>
    </font>
    <font>
      <i/>
      <sz val="8"/>
      <color indexed="12"/>
      <name val="MS Sans Serif"/>
      <family val="2"/>
    </font>
    <font>
      <b/>
      <sz val="10"/>
      <color indexed="12"/>
      <name val="Arial"/>
    </font>
    <font>
      <b/>
      <sz val="8"/>
      <color indexed="12"/>
      <name val="MS Sans Serif"/>
      <family val="2"/>
    </font>
    <font>
      <b/>
      <i/>
      <sz val="8"/>
      <color indexed="12"/>
      <name val="MS Sans Serif"/>
    </font>
    <font>
      <sz val="10"/>
      <color indexed="12"/>
      <name val="MS Sans Serif"/>
    </font>
    <font>
      <i/>
      <sz val="8"/>
      <color indexed="12"/>
      <name val="MS Sans Serif"/>
    </font>
    <font>
      <b/>
      <sz val="8"/>
      <color indexed="12"/>
      <name val="Arial"/>
    </font>
    <font>
      <sz val="10"/>
      <name val="Arial"/>
    </font>
    <font>
      <sz val="10"/>
      <name val="Arial"/>
    </font>
    <font>
      <i/>
      <strike/>
      <sz val="10"/>
      <name val="MS Sans Serif"/>
    </font>
    <font>
      <i/>
      <strike/>
      <sz val="8"/>
      <name val="Arial"/>
    </font>
    <font>
      <i/>
      <strike/>
      <sz val="10"/>
      <name val="Arial"/>
    </font>
    <font>
      <i/>
      <strike/>
      <sz val="8"/>
      <color indexed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4" fillId="0" borderId="0" xfId="0" applyFont="1"/>
    <xf numFmtId="172" fontId="3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172" fontId="6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72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72" fontId="9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2" fontId="7" fillId="0" borderId="0" xfId="0" applyNumberFormat="1" applyFont="1"/>
    <xf numFmtId="172" fontId="7" fillId="0" borderId="0" xfId="0" applyNumberFormat="1" applyFont="1" applyAlignment="1">
      <alignment horizontal="center"/>
    </xf>
    <xf numFmtId="172" fontId="9" fillId="0" borderId="1" xfId="0" applyNumberFormat="1" applyFont="1" applyBorder="1" applyAlignment="1">
      <alignment horizontal="center"/>
    </xf>
    <xf numFmtId="172" fontId="10" fillId="0" borderId="0" xfId="0" applyNumberFormat="1" applyFont="1" applyAlignment="1">
      <alignment horizontal="center"/>
    </xf>
    <xf numFmtId="172" fontId="7" fillId="0" borderId="2" xfId="0" applyNumberFormat="1" applyFont="1" applyBorder="1" applyAlignment="1">
      <alignment horizontal="center"/>
    </xf>
    <xf numFmtId="172" fontId="8" fillId="0" borderId="2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72" fontId="6" fillId="0" borderId="0" xfId="0" applyNumberFormat="1" applyFont="1"/>
    <xf numFmtId="2" fontId="6" fillId="0" borderId="0" xfId="0" applyNumberFormat="1" applyFont="1" applyAlignment="1">
      <alignment horizontal="center"/>
    </xf>
    <xf numFmtId="1" fontId="7" fillId="0" borderId="0" xfId="0" applyNumberFormat="1" applyFont="1"/>
    <xf numFmtId="0" fontId="11" fillId="0" borderId="0" xfId="0" applyFont="1" applyAlignment="1">
      <alignment horizontal="center"/>
    </xf>
    <xf numFmtId="172" fontId="8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72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172" fontId="1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73" fontId="13" fillId="0" borderId="0" xfId="0" applyNumberFormat="1" applyFont="1"/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/>
    <xf numFmtId="172" fontId="14" fillId="0" borderId="0" xfId="0" applyNumberFormat="1" applyFont="1"/>
    <xf numFmtId="0" fontId="16" fillId="0" borderId="0" xfId="0" applyFont="1" applyAlignment="1">
      <alignment horizontal="center"/>
    </xf>
    <xf numFmtId="172" fontId="17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5" fillId="0" borderId="0" xfId="0" applyNumberFormat="1" applyFont="1"/>
    <xf numFmtId="0" fontId="1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2" fontId="16" fillId="0" borderId="0" xfId="0" applyNumberFormat="1" applyFont="1"/>
    <xf numFmtId="172" fontId="18" fillId="0" borderId="0" xfId="0" applyNumberFormat="1" applyFont="1"/>
    <xf numFmtId="1" fontId="15" fillId="0" borderId="0" xfId="0" applyNumberFormat="1" applyFont="1" applyAlignment="1">
      <alignment horizontal="left"/>
    </xf>
    <xf numFmtId="172" fontId="16" fillId="0" borderId="0" xfId="0" applyNumberFormat="1" applyFont="1" applyAlignment="1">
      <alignment horizontal="center"/>
    </xf>
    <xf numFmtId="172" fontId="16" fillId="0" borderId="2" xfId="0" applyNumberFormat="1" applyFont="1" applyBorder="1" applyAlignment="1">
      <alignment horizontal="center"/>
    </xf>
    <xf numFmtId="172" fontId="20" fillId="0" borderId="2" xfId="0" applyNumberFormat="1" applyFont="1" applyBorder="1" applyAlignment="1">
      <alignment horizontal="center"/>
    </xf>
    <xf numFmtId="0" fontId="21" fillId="0" borderId="0" xfId="0" applyFont="1"/>
    <xf numFmtId="2" fontId="11" fillId="0" borderId="0" xfId="0" applyNumberFormat="1" applyFont="1"/>
    <xf numFmtId="2" fontId="19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center"/>
    </xf>
    <xf numFmtId="172" fontId="1" fillId="0" borderId="0" xfId="0" applyNumberFormat="1" applyFont="1"/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2" fontId="29" fillId="0" borderId="0" xfId="0" applyNumberFormat="1" applyFont="1"/>
    <xf numFmtId="172" fontId="27" fillId="0" borderId="0" xfId="0" applyNumberFormat="1" applyFont="1"/>
    <xf numFmtId="172" fontId="30" fillId="0" borderId="0" xfId="0" applyNumberFormat="1" applyFont="1" applyBorder="1" applyAlignment="1">
      <alignment horizontal="center"/>
    </xf>
    <xf numFmtId="2" fontId="31" fillId="0" borderId="0" xfId="0" applyNumberFormat="1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172" fontId="33" fillId="0" borderId="0" xfId="0" applyNumberFormat="1" applyFont="1" applyBorder="1" applyAlignment="1">
      <alignment horizontal="center"/>
    </xf>
    <xf numFmtId="1" fontId="32" fillId="0" borderId="0" xfId="0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2" fontId="41" fillId="0" borderId="0" xfId="0" applyNumberFormat="1" applyFont="1"/>
    <xf numFmtId="172" fontId="38" fillId="0" borderId="0" xfId="0" applyNumberFormat="1" applyFont="1"/>
    <xf numFmtId="2" fontId="36" fillId="0" borderId="0" xfId="0" applyNumberFormat="1" applyFont="1" applyAlignment="1">
      <alignment horizontal="left"/>
    </xf>
    <xf numFmtId="2" fontId="39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left"/>
    </xf>
    <xf numFmtId="172" fontId="32" fillId="0" borderId="0" xfId="0" applyNumberFormat="1" applyFont="1" applyAlignment="1">
      <alignment horizontal="center"/>
    </xf>
    <xf numFmtId="2" fontId="32" fillId="0" borderId="0" xfId="0" applyNumberFormat="1" applyFont="1"/>
    <xf numFmtId="0" fontId="32" fillId="0" borderId="0" xfId="0" applyFont="1"/>
    <xf numFmtId="172" fontId="42" fillId="0" borderId="0" xfId="0" applyNumberFormat="1" applyFont="1" applyBorder="1" applyAlignment="1">
      <alignment horizontal="center"/>
    </xf>
    <xf numFmtId="172" fontId="32" fillId="0" borderId="2" xfId="0" applyNumberFormat="1" applyFont="1" applyBorder="1" applyAlignment="1">
      <alignment horizontal="center"/>
    </xf>
    <xf numFmtId="172" fontId="42" fillId="0" borderId="2" xfId="0" applyNumberFormat="1" applyFont="1" applyBorder="1" applyAlignment="1">
      <alignment horizontal="center"/>
    </xf>
    <xf numFmtId="172" fontId="10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9" fillId="0" borderId="0" xfId="0" applyNumberFormat="1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/>
    <xf numFmtId="172" fontId="46" fillId="0" borderId="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left"/>
    </xf>
    <xf numFmtId="172" fontId="11" fillId="0" borderId="0" xfId="0" applyNumberFormat="1" applyFont="1" applyAlignment="1">
      <alignment horizontal="center"/>
    </xf>
    <xf numFmtId="172" fontId="10" fillId="0" borderId="1" xfId="0" applyNumberFormat="1" applyFont="1" applyBorder="1" applyAlignment="1">
      <alignment horizontal="center"/>
    </xf>
    <xf numFmtId="0" fontId="11" fillId="0" borderId="0" xfId="0" applyFont="1"/>
    <xf numFmtId="172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47" fillId="0" borderId="0" xfId="0" applyFont="1"/>
    <xf numFmtId="0" fontId="4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72" fontId="48" fillId="0" borderId="0" xfId="0" applyNumberFormat="1" applyFont="1"/>
    <xf numFmtId="2" fontId="29" fillId="0" borderId="0" xfId="0" applyNumberFormat="1" applyFont="1" applyAlignment="1">
      <alignment horizontal="center"/>
    </xf>
    <xf numFmtId="172" fontId="1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" fontId="13" fillId="0" borderId="0" xfId="0" applyNumberFormat="1" applyFont="1" applyAlignment="1">
      <alignment horizontal="center"/>
    </xf>
    <xf numFmtId="0" fontId="2" fillId="0" borderId="0" xfId="1"/>
    <xf numFmtId="0" fontId="6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</cellXfs>
  <cellStyles count="2">
    <cellStyle name="Normal" xfId="0" builtinId="0"/>
    <cellStyle name="Normal_intcal9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37531276063379E-2"/>
          <c:y val="3.5135135135135137E-2"/>
          <c:w val="0.92493744787322774"/>
          <c:h val="0.89594594594594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'Chau3 (dcp corr)'!$X$1</c:f>
              <c:strCache>
                <c:ptCount val="1"/>
                <c:pt idx="0">
                  <c:v>mm/base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>
                <c:manualLayout>
                  <c:x val="9.0075342806535508E-2"/>
                  <c:y val="-0.1781417140331986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1.0834651602602774E-2"/>
                  <c:y val="-0.383771782507853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'Chau3 (dcp corr)'!$H$3:$H$8</c:f>
              <c:numCache>
                <c:formatCode>0</c:formatCode>
                <c:ptCount val="6"/>
                <c:pt idx="0">
                  <c:v>14636.226512101775</c:v>
                </c:pt>
                <c:pt idx="1">
                  <c:v>12964.844829536987</c:v>
                </c:pt>
                <c:pt idx="2">
                  <c:v>13914.527054899121</c:v>
                </c:pt>
                <c:pt idx="3">
                  <c:v>13900.915642436021</c:v>
                </c:pt>
                <c:pt idx="4">
                  <c:v>13353.347492596708</c:v>
                </c:pt>
                <c:pt idx="5">
                  <c:v>13062.264921965365</c:v>
                </c:pt>
              </c:numCache>
            </c:numRef>
          </c:xVal>
          <c:yVal>
            <c:numRef>
              <c:f>'Chau3 (dcp corr)'!$X$3:$X$8</c:f>
              <c:numCache>
                <c:formatCode>General</c:formatCode>
                <c:ptCount val="6"/>
                <c:pt idx="0">
                  <c:v>13</c:v>
                </c:pt>
                <c:pt idx="1">
                  <c:v>53</c:v>
                </c:pt>
                <c:pt idx="2">
                  <c:v>56</c:v>
                </c:pt>
                <c:pt idx="3">
                  <c:v>69</c:v>
                </c:pt>
                <c:pt idx="4">
                  <c:v>74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7C-4CE8-BCFD-D0CEB007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891871"/>
        <c:axId val="1"/>
      </c:scatterChart>
      <c:valAx>
        <c:axId val="1990891871"/>
        <c:scaling>
          <c:orientation val="minMax"/>
          <c:min val="110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8918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55796497080887"/>
          <c:y val="2.0270270270270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5037531276063379E-2"/>
          <c:y val="0.11621621621621622"/>
          <c:w val="0.82735613010842368"/>
          <c:h val="0.77297297297297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'Chau3 (dcp corr)'!$X$1</c:f>
              <c:strCache>
                <c:ptCount val="1"/>
                <c:pt idx="0">
                  <c:v>mm/base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rgbClr val="000080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1-EF02-46A2-A5D7-FB8127563939}"/>
              </c:ext>
            </c:extLst>
          </c:dPt>
          <c:xVal>
            <c:numRef>
              <c:f>'Chau3 (dcp corr)'!$T$2:$T$8</c:f>
              <c:numCache>
                <c:formatCode>General</c:formatCode>
                <c:ptCount val="7"/>
                <c:pt idx="0">
                  <c:v>16350</c:v>
                </c:pt>
                <c:pt idx="1">
                  <c:v>15000</c:v>
                </c:pt>
                <c:pt idx="2">
                  <c:v>14350</c:v>
                </c:pt>
                <c:pt idx="3">
                  <c:v>15400</c:v>
                </c:pt>
                <c:pt idx="4">
                  <c:v>15750</c:v>
                </c:pt>
                <c:pt idx="5">
                  <c:v>15250</c:v>
                </c:pt>
                <c:pt idx="6">
                  <c:v>15500</c:v>
                </c:pt>
              </c:numCache>
            </c:numRef>
          </c:xVal>
          <c:yVal>
            <c:numRef>
              <c:f>'Chau3 (dcp corr)'!$X$2:$X$8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53</c:v>
                </c:pt>
                <c:pt idx="3">
                  <c:v>56</c:v>
                </c:pt>
                <c:pt idx="4">
                  <c:v>69</c:v>
                </c:pt>
                <c:pt idx="5">
                  <c:v>74</c:v>
                </c:pt>
                <c:pt idx="6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02-46A2-A5D7-FB8127563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891455"/>
        <c:axId val="1"/>
      </c:scatterChart>
      <c:valAx>
        <c:axId val="1990891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corrected and calibrated 14C ages yr/2000 </a:t>
                </a:r>
              </a:p>
            </c:rich>
          </c:tx>
          <c:layout>
            <c:manualLayout>
              <c:xMode val="edge"/>
              <c:yMode val="edge"/>
              <c:x val="0.31859883236030018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89145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408673894912417"/>
          <c:y val="0.38378378378378381"/>
          <c:w val="9.2577147623019176E-2"/>
          <c:h val="0.23783783783783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dcp interpolation</a:t>
            </a:r>
          </a:p>
        </c:rich>
      </c:tx>
      <c:layout>
        <c:manualLayout>
          <c:xMode val="edge"/>
          <c:yMode val="edge"/>
          <c:x val="0.40389242172703793"/>
          <c:y val="4.062627403956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2334193721518"/>
          <c:y val="0.20938156620391402"/>
          <c:w val="0.57320976882658226"/>
          <c:h val="0.62814469861174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'Chau3 (dcp corr)'!$AS$1</c:f>
              <c:strCache>
                <c:ptCount val="1"/>
                <c:pt idx="0">
                  <c:v>dcp %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5736907698379476E-2"/>
                  <c:y val="2.96117165210514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'Chau3 (dcp corr)'!$AE$2:$AE$32</c:f>
              <c:numCache>
                <c:formatCode>General</c:formatCode>
                <c:ptCount val="31"/>
                <c:pt idx="1">
                  <c:v>13</c:v>
                </c:pt>
                <c:pt idx="4">
                  <c:v>66</c:v>
                </c:pt>
              </c:numCache>
            </c:numRef>
          </c:xVal>
          <c:yVal>
            <c:numRef>
              <c:f>'Chau3 (dcp corr)'!$AS$2:$AS$32</c:f>
              <c:numCache>
                <c:formatCode>0.0</c:formatCode>
                <c:ptCount val="31"/>
                <c:pt idx="1">
                  <c:v>22.216271399604537</c:v>
                </c:pt>
                <c:pt idx="4">
                  <c:v>9.1056493670287448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0-4FC0-B5CF-E99D976C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890623"/>
        <c:axId val="1"/>
      </c:scatterChart>
      <c:valAx>
        <c:axId val="199089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089062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59872517306323"/>
          <c:y val="0.45001411243826289"/>
          <c:w val="0.26279463247741769"/>
          <c:h val="0.14687960614304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F56A01-5A6A-4A47-A336-372B78166C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13004C-C716-4D2B-92E0-2FB83ABA24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11</xdr:row>
      <xdr:rowOff>60960</xdr:rowOff>
    </xdr:from>
    <xdr:to>
      <xdr:col>11</xdr:col>
      <xdr:colOff>1325880</xdr:colOff>
      <xdr:row>27</xdr:row>
      <xdr:rowOff>121920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2ACBFD37-6A7B-4ACF-AA06-8A624474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N29"/>
  <sheetViews>
    <sheetView tabSelected="1" workbookViewId="0">
      <selection activeCell="AH20" sqref="AH20"/>
    </sheetView>
  </sheetViews>
  <sheetFormatPr baseColWidth="10" defaultRowHeight="12.6" x14ac:dyDescent="0.25"/>
  <cols>
    <col min="1" max="1" width="11.66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customWidth="1"/>
    <col min="8" max="8" width="19.88671875" style="5" customWidth="1"/>
    <col min="9" max="9" width="5.109375" customWidth="1"/>
    <col min="10" max="10" width="5.6640625" customWidth="1"/>
    <col min="11" max="11" width="4.6640625" customWidth="1"/>
    <col min="12" max="12" width="21.44140625" customWidth="1"/>
    <col min="13" max="13" width="4.6640625" customWidth="1"/>
    <col min="14" max="14" width="11.6640625" style="5" customWidth="1"/>
    <col min="15" max="15" width="4.6640625" customWidth="1"/>
    <col min="16" max="16" width="7.88671875" customWidth="1"/>
    <col min="17" max="17" width="9.6640625" style="1" customWidth="1"/>
    <col min="18" max="18" width="5.5546875" customWidth="1"/>
    <col min="19" max="19" width="6.5546875" customWidth="1"/>
    <col min="20" max="20" width="25.6640625" style="1" customWidth="1"/>
    <col min="21" max="21" width="7.44140625" style="1" customWidth="1"/>
    <col min="22" max="22" width="7.33203125" style="1" customWidth="1"/>
    <col min="23" max="23" width="8.44140625" style="1" customWidth="1"/>
    <col min="24" max="24" width="7.88671875" customWidth="1"/>
    <col min="25" max="25" width="9.6640625" customWidth="1"/>
    <col min="26" max="29" width="7.88671875" customWidth="1"/>
    <col min="30" max="30" width="22.33203125" customWidth="1"/>
    <col min="31" max="31" width="27.109375" style="1" customWidth="1"/>
    <col min="32" max="32" width="4.6640625" customWidth="1"/>
    <col min="33" max="33" width="2.44140625" customWidth="1"/>
    <col min="34" max="34" width="3.44140625" customWidth="1"/>
    <col min="35" max="35" width="3.6640625" customWidth="1"/>
    <col min="36" max="36" width="15.109375" customWidth="1"/>
    <col min="37" max="37" width="20.109375" style="1" customWidth="1"/>
    <col min="38" max="38" width="12.88671875" customWidth="1"/>
    <col min="39" max="39" width="7.88671875" style="6" customWidth="1"/>
    <col min="40" max="40" width="13.6640625" style="1" customWidth="1"/>
    <col min="41" max="41" width="16" style="1" customWidth="1"/>
    <col min="42" max="42" width="12.109375" style="1" customWidth="1"/>
    <col min="43" max="43" width="7.109375" style="72" customWidth="1"/>
    <col min="44" max="44" width="11.109375" customWidth="1"/>
    <col min="45" max="45" width="5.109375" customWidth="1"/>
    <col min="46" max="46" width="5.44140625" style="3" customWidth="1"/>
    <col min="47" max="47" width="10" style="1" customWidth="1"/>
    <col min="48" max="48" width="5.6640625" style="1" customWidth="1"/>
    <col min="49" max="49" width="15.6640625" customWidth="1"/>
    <col min="50" max="50" width="9.6640625" customWidth="1"/>
    <col min="52" max="52" width="18.33203125" customWidth="1"/>
    <col min="53" max="53" width="19.44140625" customWidth="1"/>
    <col min="54" max="54" width="7.88671875" customWidth="1"/>
    <col min="55" max="55" width="20.5546875" customWidth="1"/>
    <col min="56" max="56" width="15.33203125" customWidth="1"/>
    <col min="57" max="57" width="11.6640625" customWidth="1"/>
    <col min="58" max="58" width="7.6640625" customWidth="1"/>
    <col min="59" max="59" width="7.88671875" customWidth="1"/>
    <col min="60" max="60" width="5.6640625" customWidth="1"/>
    <col min="61" max="62" width="9.33203125" style="1" customWidth="1"/>
    <col min="63" max="63" width="10" customWidth="1"/>
    <col min="64" max="65" width="10.109375" customWidth="1"/>
    <col min="66" max="66" width="9.6640625" customWidth="1"/>
    <col min="67" max="67" width="5.44140625" customWidth="1"/>
    <col min="68" max="68" width="9.33203125" customWidth="1"/>
    <col min="70" max="70" width="16.6640625" customWidth="1"/>
    <col min="71" max="71" width="18.33203125" customWidth="1"/>
    <col min="72" max="72" width="19.44140625" customWidth="1"/>
    <col min="73" max="73" width="7.88671875" customWidth="1"/>
    <col min="74" max="75" width="20.5546875" customWidth="1"/>
    <col min="76" max="76" width="12.44140625" customWidth="1"/>
    <col min="77" max="77" width="13.6640625" customWidth="1"/>
    <col min="78" max="78" width="8.5546875" customWidth="1"/>
    <col min="79" max="80" width="9.6640625" customWidth="1"/>
    <col min="81" max="81" width="13.88671875" customWidth="1"/>
    <col min="82" max="82" width="11" customWidth="1"/>
    <col min="83" max="83" width="20.109375" customWidth="1"/>
    <col min="84" max="84" width="23.5546875" customWidth="1"/>
    <col min="85" max="85" width="17.44140625" customWidth="1"/>
    <col min="86" max="86" width="14.33203125" customWidth="1"/>
    <col min="87" max="87" width="8" customWidth="1"/>
    <col min="89" max="89" width="13.6640625" customWidth="1"/>
    <col min="90" max="90" width="28.33203125" customWidth="1"/>
    <col min="91" max="91" width="17.44140625" customWidth="1"/>
    <col min="92" max="92" width="12.6640625" customWidth="1"/>
  </cols>
  <sheetData>
    <row r="1" spans="1:92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9" t="s">
        <v>6</v>
      </c>
      <c r="J1" s="9" t="s">
        <v>8</v>
      </c>
      <c r="K1" s="9" t="s">
        <v>3</v>
      </c>
      <c r="L1" s="9" t="s">
        <v>41</v>
      </c>
      <c r="M1" s="9" t="s">
        <v>3</v>
      </c>
      <c r="N1" s="11" t="s">
        <v>9</v>
      </c>
      <c r="O1" s="9" t="s">
        <v>3</v>
      </c>
      <c r="P1" s="10"/>
      <c r="Q1" s="9" t="s">
        <v>40</v>
      </c>
      <c r="R1" s="9" t="s">
        <v>10</v>
      </c>
      <c r="S1" s="9" t="s">
        <v>11</v>
      </c>
      <c r="T1" s="9" t="s">
        <v>55</v>
      </c>
      <c r="U1" s="9" t="s">
        <v>10</v>
      </c>
      <c r="V1" s="9" t="s">
        <v>11</v>
      </c>
      <c r="W1" s="9" t="s">
        <v>12</v>
      </c>
      <c r="X1" s="10" t="s">
        <v>39</v>
      </c>
      <c r="Y1" s="9" t="s">
        <v>0</v>
      </c>
      <c r="Z1" s="10" t="s">
        <v>46</v>
      </c>
      <c r="AA1" s="10" t="s">
        <v>3</v>
      </c>
      <c r="AB1" s="10" t="s">
        <v>47</v>
      </c>
      <c r="AC1" s="10" t="s">
        <v>3</v>
      </c>
      <c r="AD1" s="12" t="s">
        <v>14</v>
      </c>
      <c r="AE1" s="128" t="s">
        <v>68</v>
      </c>
      <c r="AF1" s="9" t="s">
        <v>3</v>
      </c>
      <c r="AJ1" s="40" t="s">
        <v>16</v>
      </c>
      <c r="AK1" s="9" t="s">
        <v>17</v>
      </c>
      <c r="AL1" s="13" t="s">
        <v>18</v>
      </c>
      <c r="AM1" s="14" t="s">
        <v>19</v>
      </c>
      <c r="AN1" s="13" t="s">
        <v>20</v>
      </c>
      <c r="AO1" s="13" t="s">
        <v>21</v>
      </c>
      <c r="AP1" s="13" t="s">
        <v>22</v>
      </c>
      <c r="AQ1" s="15" t="s">
        <v>8</v>
      </c>
      <c r="AR1" s="9" t="s">
        <v>5</v>
      </c>
      <c r="AS1" s="9" t="s">
        <v>6</v>
      </c>
      <c r="AT1" s="16" t="s">
        <v>23</v>
      </c>
      <c r="AU1" s="17" t="s">
        <v>24</v>
      </c>
      <c r="AV1" s="17"/>
      <c r="AW1" s="10" t="s">
        <v>69</v>
      </c>
      <c r="AX1" s="10" t="s">
        <v>3</v>
      </c>
      <c r="AY1" s="9" t="s">
        <v>70</v>
      </c>
      <c r="AZ1" s="9" t="s">
        <v>3</v>
      </c>
      <c r="BB1" s="10"/>
      <c r="BG1" s="10"/>
      <c r="BH1" s="10"/>
      <c r="BN1" s="10"/>
      <c r="BR1" s="45"/>
      <c r="BU1" s="10"/>
      <c r="CD1" s="18"/>
    </row>
    <row r="2" spans="1:92" s="19" customFormat="1" ht="13.2" x14ac:dyDescent="0.25">
      <c r="A2" s="19" t="s">
        <v>42</v>
      </c>
      <c r="B2" s="19" t="s">
        <v>43</v>
      </c>
      <c r="C2" s="19">
        <v>2</v>
      </c>
      <c r="D2" s="19">
        <v>0.5</v>
      </c>
      <c r="E2" s="19">
        <v>28.3</v>
      </c>
      <c r="F2" s="19">
        <v>13.5</v>
      </c>
      <c r="G2" s="20">
        <v>0.2</v>
      </c>
      <c r="H2" s="21">
        <f>-8033*LN(F2/100)</f>
        <v>16085.925860867603</v>
      </c>
      <c r="I2" s="19">
        <v>119</v>
      </c>
      <c r="J2" s="41">
        <v>24.7</v>
      </c>
      <c r="K2" s="19">
        <v>1.5</v>
      </c>
      <c r="L2" s="20">
        <f>F2/((100-J2)/100)</f>
        <v>17.92828685258964</v>
      </c>
      <c r="M2" s="20">
        <f>G2+K2</f>
        <v>1.7</v>
      </c>
      <c r="N2" s="21">
        <f>-8033*LN(L2/100)</f>
        <v>13807.043679720642</v>
      </c>
      <c r="O2" s="8">
        <f>(8033*LN((L2+M2)/100) - 8033*LN((L2-M2)/100))/2</f>
        <v>764.00220650387291</v>
      </c>
      <c r="Q2" s="38">
        <f>(R2+S2)/2</f>
        <v>-16200</v>
      </c>
      <c r="R2" s="39">
        <v>-13900</v>
      </c>
      <c r="S2" s="39">
        <v>-18500</v>
      </c>
      <c r="T2" s="10">
        <f>2000-Q2</f>
        <v>18200</v>
      </c>
      <c r="U2" s="10">
        <f t="shared" ref="U2:V5" si="0">(2000-R2)</f>
        <v>15900</v>
      </c>
      <c r="V2" s="10">
        <f t="shared" si="0"/>
        <v>20500</v>
      </c>
      <c r="W2" s="10">
        <f>ABS(U2-V2)/2</f>
        <v>2300</v>
      </c>
      <c r="X2" s="19">
        <v>2</v>
      </c>
      <c r="Y2" s="19" t="s">
        <v>42</v>
      </c>
      <c r="Z2" s="19">
        <v>-6.04</v>
      </c>
      <c r="AA2" s="19">
        <v>0.1</v>
      </c>
      <c r="AB2" s="19">
        <v>-5.71</v>
      </c>
      <c r="AC2" s="19">
        <v>0.1</v>
      </c>
      <c r="AD2" s="68" t="s">
        <v>67</v>
      </c>
      <c r="AE2" s="129">
        <v>14785</v>
      </c>
      <c r="AF2" s="109">
        <v>84</v>
      </c>
      <c r="AG2" s="75"/>
      <c r="AH2" s="75"/>
      <c r="AI2" s="75"/>
      <c r="AJ2" s="76"/>
      <c r="AK2" s="41">
        <f>2000-AE2</f>
        <v>-12785</v>
      </c>
      <c r="AL2" s="127">
        <v>254.2</v>
      </c>
      <c r="AM2" s="127">
        <v>49</v>
      </c>
      <c r="AN2" s="19">
        <f>(AL2)/10+100</f>
        <v>125.42</v>
      </c>
      <c r="AO2" s="19">
        <f>AM2/10</f>
        <v>4.9000000000000004</v>
      </c>
      <c r="AP2" s="23">
        <f>F2/EXP(-(LN(2)/5730)*(AE2))</f>
        <v>80.737484569562952</v>
      </c>
      <c r="AQ2" s="30">
        <f>(1-(AP2/AN2))*100</f>
        <v>35.626307949638857</v>
      </c>
      <c r="AR2" s="19">
        <f>F2</f>
        <v>13.5</v>
      </c>
      <c r="AS2" s="20">
        <f>G2</f>
        <v>0.2</v>
      </c>
      <c r="AT2" s="42">
        <f>AP2*(AS2/AR2+AF2/AE2)</f>
        <v>1.6548155631913328</v>
      </c>
      <c r="AU2" s="31">
        <f>AT2+AO2</f>
        <v>6.5548155631913332</v>
      </c>
      <c r="AV2" s="10"/>
      <c r="AW2" s="41">
        <f>AE2-50</f>
        <v>14735</v>
      </c>
      <c r="AX2" s="19">
        <f>AF2</f>
        <v>84</v>
      </c>
      <c r="AY2" s="126">
        <f t="shared" ref="AY2:AZ5" si="1">N2</f>
        <v>13807.043679720642</v>
      </c>
      <c r="AZ2" s="21">
        <f t="shared" si="1"/>
        <v>764.00220650387291</v>
      </c>
      <c r="BI2" s="38"/>
      <c r="BJ2" s="38"/>
      <c r="BR2" s="46"/>
      <c r="BW2" s="10"/>
      <c r="BX2" s="10"/>
      <c r="BY2" s="24"/>
      <c r="BZ2" s="23"/>
      <c r="CA2" s="25"/>
      <c r="CB2" s="14"/>
      <c r="CC2" s="26"/>
      <c r="CD2" s="18"/>
      <c r="CE2" s="27"/>
      <c r="CF2" s="23"/>
      <c r="CG2" s="27"/>
      <c r="CH2" s="27"/>
      <c r="CI2" s="28"/>
      <c r="CL2" s="23"/>
      <c r="CM2" s="27"/>
      <c r="CN2" s="28"/>
    </row>
    <row r="3" spans="1:92" s="19" customFormat="1" ht="13.2" x14ac:dyDescent="0.25">
      <c r="A3" s="19" t="s">
        <v>53</v>
      </c>
      <c r="B3" s="19" t="s">
        <v>54</v>
      </c>
      <c r="C3" s="19">
        <v>13</v>
      </c>
      <c r="D3" s="19">
        <v>0.5</v>
      </c>
      <c r="E3" s="19">
        <v>17.100000000000001</v>
      </c>
      <c r="F3" s="19">
        <v>16.170000000000002</v>
      </c>
      <c r="G3" s="20">
        <v>0.24</v>
      </c>
      <c r="H3" s="21">
        <f>-8033*LN(F3/100)</f>
        <v>14636.226512101775</v>
      </c>
      <c r="I3" s="19">
        <v>118</v>
      </c>
      <c r="J3" s="41">
        <v>24.7</v>
      </c>
      <c r="K3" s="19">
        <v>1.5</v>
      </c>
      <c r="L3" s="20">
        <f>F3/((100-J3)/100)</f>
        <v>21.474103585657371</v>
      </c>
      <c r="M3" s="20">
        <f>G3+K3</f>
        <v>1.74</v>
      </c>
      <c r="N3" s="21">
        <f>-8033*LN(L3/100)</f>
        <v>12357.344330954815</v>
      </c>
      <c r="O3" s="8">
        <f>(8033*LN((L3+M3)/100) - 8033*LN((L3-M3)/100))/2</f>
        <v>652.32667990981372</v>
      </c>
      <c r="Q3" s="38">
        <f>(R3+S3)/2</f>
        <v>-14300</v>
      </c>
      <c r="R3" s="39">
        <v>-12300</v>
      </c>
      <c r="S3" s="39">
        <v>-16300</v>
      </c>
      <c r="T3" s="10">
        <f>2000-Q3</f>
        <v>16300</v>
      </c>
      <c r="U3" s="10">
        <f t="shared" si="0"/>
        <v>14300</v>
      </c>
      <c r="V3" s="10">
        <f t="shared" si="0"/>
        <v>18300</v>
      </c>
      <c r="W3" s="10">
        <f>ABS(U3-V3)/2</f>
        <v>2000</v>
      </c>
      <c r="X3" s="19">
        <v>13</v>
      </c>
      <c r="Y3" s="19" t="s">
        <v>53</v>
      </c>
      <c r="Z3" s="19">
        <v>-7.69</v>
      </c>
      <c r="AA3" s="19">
        <v>0.1</v>
      </c>
      <c r="AB3" s="19">
        <v>-5.58</v>
      </c>
      <c r="AC3" s="19">
        <v>0.1</v>
      </c>
      <c r="AD3" s="68" t="s">
        <v>67</v>
      </c>
      <c r="AE3" s="130">
        <v>14699</v>
      </c>
      <c r="AF3" s="109">
        <v>84</v>
      </c>
      <c r="AK3" s="41">
        <f>2000-AE3</f>
        <v>-12699</v>
      </c>
      <c r="AL3" s="125">
        <v>230</v>
      </c>
      <c r="AM3" s="125">
        <v>37</v>
      </c>
      <c r="AN3" s="19">
        <f>(AL3)/10+100</f>
        <v>123</v>
      </c>
      <c r="AO3" s="19">
        <f>AM3/10</f>
        <v>3.7</v>
      </c>
      <c r="AP3" s="23">
        <f>F3/EXP(-(LN(2)/5730)*(AE3))</f>
        <v>95.704727104608892</v>
      </c>
      <c r="AQ3" s="30">
        <f>(1-(AP3/AN3))*100</f>
        <v>22.191278776740742</v>
      </c>
      <c r="AR3" s="19">
        <f t="shared" ref="AR3:AS5" si="2">F3</f>
        <v>16.170000000000002</v>
      </c>
      <c r="AS3" s="20">
        <f t="shared" si="2"/>
        <v>0.24</v>
      </c>
      <c r="AT3" s="42">
        <f>AP3*(AS3/AR3+AF3/AE3)</f>
        <v>1.9673996847908755</v>
      </c>
      <c r="AU3" s="31">
        <f>AT3+AO3</f>
        <v>5.6673996847908761</v>
      </c>
      <c r="AV3" s="31"/>
      <c r="AW3" s="41">
        <f>AE3-50</f>
        <v>14649</v>
      </c>
      <c r="AX3" s="19">
        <f>AF3</f>
        <v>84</v>
      </c>
      <c r="AY3" s="126">
        <f t="shared" si="1"/>
        <v>12357.344330954815</v>
      </c>
      <c r="AZ3" s="21">
        <f t="shared" si="1"/>
        <v>652.32667990981372</v>
      </c>
      <c r="BI3" s="10"/>
      <c r="BR3" s="46"/>
      <c r="BW3" s="10"/>
      <c r="BX3" s="10"/>
      <c r="BY3" s="24"/>
      <c r="BZ3" s="23"/>
      <c r="CB3" s="14"/>
      <c r="CD3" s="18"/>
      <c r="CE3" s="27"/>
      <c r="CF3" s="23"/>
      <c r="CG3" s="27"/>
      <c r="CH3" s="24"/>
      <c r="CI3" s="28"/>
      <c r="CL3" s="23"/>
      <c r="CM3" s="27"/>
      <c r="CN3" s="28"/>
    </row>
    <row r="4" spans="1:92" s="19" customFormat="1" ht="12.75" customHeight="1" x14ac:dyDescent="0.25">
      <c r="A4" s="19" t="s">
        <v>51</v>
      </c>
      <c r="B4" s="19" t="s">
        <v>52</v>
      </c>
      <c r="C4" s="19">
        <v>69</v>
      </c>
      <c r="D4" s="19">
        <v>0.5</v>
      </c>
      <c r="E4" s="19">
        <v>18.21</v>
      </c>
      <c r="F4" s="19">
        <v>17.72</v>
      </c>
      <c r="G4" s="20">
        <v>0.24</v>
      </c>
      <c r="H4" s="21">
        <f>-8033*LN(F4/100)</f>
        <v>13900.915642436021</v>
      </c>
      <c r="I4" s="19">
        <v>110</v>
      </c>
      <c r="J4" s="41">
        <v>24.7</v>
      </c>
      <c r="K4" s="19">
        <v>1.5</v>
      </c>
      <c r="L4" s="20">
        <f>F4/((100-J4)/100)</f>
        <v>23.532536520584326</v>
      </c>
      <c r="M4" s="20">
        <f>G4+K4</f>
        <v>1.74</v>
      </c>
      <c r="N4" s="21">
        <f>-8033*LN(L4/100)</f>
        <v>11622.03346128906</v>
      </c>
      <c r="O4" s="8">
        <f>(8033*LN((L4+M4)/100) - 8033*LN((L4-M4)/100))/2</f>
        <v>595.0474607946835</v>
      </c>
      <c r="Q4" s="38">
        <f>(R4+S4)/2</f>
        <v>-13500</v>
      </c>
      <c r="R4" s="39">
        <v>-11600</v>
      </c>
      <c r="S4" s="39">
        <v>-15400</v>
      </c>
      <c r="T4" s="10">
        <f>2000-Q4</f>
        <v>15500</v>
      </c>
      <c r="U4" s="10">
        <f t="shared" si="0"/>
        <v>13600</v>
      </c>
      <c r="V4" s="10">
        <f t="shared" si="0"/>
        <v>17400</v>
      </c>
      <c r="W4" s="10">
        <f>ABS(U4-V4)/2</f>
        <v>1900</v>
      </c>
      <c r="X4" s="19">
        <v>69</v>
      </c>
      <c r="Y4" s="19" t="s">
        <v>51</v>
      </c>
      <c r="Z4" s="19">
        <v>-7.96</v>
      </c>
      <c r="AA4" s="19">
        <v>0.1</v>
      </c>
      <c r="AB4" s="19">
        <v>-5.27</v>
      </c>
      <c r="AC4" s="19">
        <v>0.1</v>
      </c>
      <c r="AD4" s="68" t="s">
        <v>67</v>
      </c>
      <c r="AE4" s="131">
        <v>14219</v>
      </c>
      <c r="AF4" s="10">
        <v>94</v>
      </c>
      <c r="AK4" s="41">
        <f>2000-AE4</f>
        <v>-12219</v>
      </c>
      <c r="AL4" s="127">
        <v>207.5</v>
      </c>
      <c r="AM4" s="127">
        <v>18</v>
      </c>
      <c r="AN4" s="19">
        <f>(AL4)/10+100</f>
        <v>120.75</v>
      </c>
      <c r="AO4" s="19">
        <f>AM4/10</f>
        <v>1.8</v>
      </c>
      <c r="AP4" s="23">
        <f>F4/EXP(-(LN(2)/5730)*(AE4))</f>
        <v>98.962330584198526</v>
      </c>
      <c r="AQ4" s="30">
        <f>(1-(AP4/AN4))*100</f>
        <v>18.04361856381075</v>
      </c>
      <c r="AR4" s="19">
        <f t="shared" si="2"/>
        <v>17.72</v>
      </c>
      <c r="AS4" s="20">
        <f t="shared" si="2"/>
        <v>0.24</v>
      </c>
      <c r="AT4" s="42">
        <f>AP4*(AS4/AR4+AF4/AE4)</f>
        <v>1.9945749696575683</v>
      </c>
      <c r="AU4" s="31">
        <f>AT4+AO4</f>
        <v>3.7945749696575684</v>
      </c>
      <c r="AV4" s="10"/>
      <c r="AW4" s="41">
        <f>AE4-50</f>
        <v>14169</v>
      </c>
      <c r="AX4" s="19">
        <f>AF4</f>
        <v>94</v>
      </c>
      <c r="AY4" s="126">
        <f t="shared" si="1"/>
        <v>11622.03346128906</v>
      </c>
      <c r="AZ4" s="21">
        <f t="shared" si="1"/>
        <v>595.0474607946835</v>
      </c>
      <c r="BI4" s="38"/>
      <c r="BJ4" s="38"/>
      <c r="BR4" s="46"/>
      <c r="BW4" s="10"/>
      <c r="BX4" s="10"/>
      <c r="BY4" s="24"/>
      <c r="CE4" s="27"/>
      <c r="CF4" s="23"/>
      <c r="CG4" s="27"/>
      <c r="CH4" s="24"/>
      <c r="CI4" s="28"/>
      <c r="CL4" s="23"/>
      <c r="CM4" s="27"/>
      <c r="CN4" s="28"/>
    </row>
    <row r="5" spans="1:92" s="19" customFormat="1" ht="13.2" x14ac:dyDescent="0.25">
      <c r="A5" s="19" t="s">
        <v>44</v>
      </c>
      <c r="B5" s="19" t="s">
        <v>45</v>
      </c>
      <c r="C5" s="19">
        <v>140</v>
      </c>
      <c r="D5" s="19">
        <v>0.5</v>
      </c>
      <c r="E5" s="19">
        <v>27.6</v>
      </c>
      <c r="F5" s="19">
        <v>19.670000000000002</v>
      </c>
      <c r="G5" s="20">
        <v>0.32</v>
      </c>
      <c r="H5" s="21">
        <f>-8033*LN(F5/100)</f>
        <v>13062.264921965365</v>
      </c>
      <c r="I5" s="19">
        <v>130</v>
      </c>
      <c r="J5" s="41">
        <v>24.7</v>
      </c>
      <c r="K5" s="19">
        <v>1.5</v>
      </c>
      <c r="L5" s="20">
        <f>F5/((100-J5)/100)</f>
        <v>26.122177954847281</v>
      </c>
      <c r="M5" s="20">
        <f>G5+K5</f>
        <v>1.82</v>
      </c>
      <c r="N5" s="21">
        <f>-8033*LN(L5/100)</f>
        <v>10783.382740818402</v>
      </c>
      <c r="O5" s="8">
        <f>(8033*LN((L5+M5)/100) - 8033*LN((L5-M5)/100))/2</f>
        <v>560.58823822502472</v>
      </c>
      <c r="Q5" s="38">
        <f>(R5+S5)/2</f>
        <v>-12550</v>
      </c>
      <c r="R5" s="39">
        <v>-10800</v>
      </c>
      <c r="S5" s="39">
        <v>-14300</v>
      </c>
      <c r="T5" s="10">
        <f>2000-Q5</f>
        <v>14550</v>
      </c>
      <c r="U5" s="10">
        <f t="shared" si="0"/>
        <v>12800</v>
      </c>
      <c r="V5" s="10">
        <f t="shared" si="0"/>
        <v>16300</v>
      </c>
      <c r="W5" s="10">
        <f>ABS(U5-V5)/2</f>
        <v>1750</v>
      </c>
      <c r="X5" s="19">
        <v>140</v>
      </c>
      <c r="Y5" s="19" t="s">
        <v>44</v>
      </c>
      <c r="Z5" s="19">
        <v>-10.4</v>
      </c>
      <c r="AA5" s="19">
        <v>0.1</v>
      </c>
      <c r="AB5" s="19">
        <v>-9.1999999999999993</v>
      </c>
      <c r="AC5" s="19">
        <v>0.1</v>
      </c>
      <c r="AD5" s="68" t="s">
        <v>67</v>
      </c>
      <c r="AE5" s="131">
        <v>12966</v>
      </c>
      <c r="AF5" s="41">
        <v>71</v>
      </c>
      <c r="AK5" s="41">
        <f>2000-AE5</f>
        <v>-10966</v>
      </c>
      <c r="AL5" s="127">
        <v>233</v>
      </c>
      <c r="AM5" s="127">
        <v>25.4</v>
      </c>
      <c r="AN5" s="19">
        <f>(AL5)/10+100</f>
        <v>123.3</v>
      </c>
      <c r="AO5" s="19">
        <f>AM5/10</f>
        <v>2.54</v>
      </c>
      <c r="AP5" s="23">
        <f>F5/EXP(-(LN(2)/5730)*(AE5))</f>
        <v>94.402442201435321</v>
      </c>
      <c r="AQ5" s="30">
        <f>(1-(AP5/AN5))*100</f>
        <v>23.436786535737774</v>
      </c>
      <c r="AR5" s="19">
        <f t="shared" si="2"/>
        <v>19.670000000000002</v>
      </c>
      <c r="AS5" s="20">
        <f t="shared" si="2"/>
        <v>0.32</v>
      </c>
      <c r="AT5" s="42">
        <f>AP5*(AS5/AR5+AF5/AE5)</f>
        <v>2.0527139875353395</v>
      </c>
      <c r="AU5" s="31">
        <f>AT5+AO5</f>
        <v>4.5927139875353395</v>
      </c>
      <c r="AV5" s="10"/>
      <c r="AW5" s="41">
        <f>AE5-50</f>
        <v>12916</v>
      </c>
      <c r="AX5" s="19">
        <f>AF5</f>
        <v>71</v>
      </c>
      <c r="AY5" s="126">
        <f t="shared" si="1"/>
        <v>10783.382740818402</v>
      </c>
      <c r="AZ5" s="21">
        <f t="shared" si="1"/>
        <v>560.58823822502472</v>
      </c>
      <c r="BI5" s="38"/>
      <c r="BJ5" s="38"/>
      <c r="BR5" s="46"/>
      <c r="BW5" s="10"/>
      <c r="BX5" s="10"/>
      <c r="BY5" s="24"/>
      <c r="CC5" s="26"/>
      <c r="CD5" s="26"/>
      <c r="CE5" s="27"/>
      <c r="CF5" s="23"/>
      <c r="CG5" s="27"/>
      <c r="CH5" s="24"/>
      <c r="CI5" s="28"/>
      <c r="CL5" s="23"/>
      <c r="CM5" s="27"/>
      <c r="CN5" s="28"/>
    </row>
    <row r="6" spans="1:92" s="52" customFormat="1" ht="10.199999999999999" x14ac:dyDescent="0.2">
      <c r="A6" s="52" t="s">
        <v>48</v>
      </c>
      <c r="B6" s="52" t="s">
        <v>49</v>
      </c>
      <c r="C6" s="52">
        <v>-1</v>
      </c>
      <c r="F6" s="52">
        <v>6.61</v>
      </c>
      <c r="G6" s="53">
        <v>0.17</v>
      </c>
      <c r="H6" s="57">
        <f>-8033*LN(F6/100)</f>
        <v>21822.339612556079</v>
      </c>
      <c r="I6" s="52">
        <v>130</v>
      </c>
      <c r="J6" s="52" t="s">
        <v>50</v>
      </c>
      <c r="L6" s="52" t="s">
        <v>50</v>
      </c>
      <c r="M6" s="53"/>
      <c r="N6" s="57">
        <f>H6</f>
        <v>21822.339612556079</v>
      </c>
      <c r="O6" s="58">
        <f>I6</f>
        <v>130</v>
      </c>
      <c r="Q6" s="59">
        <v>26000</v>
      </c>
      <c r="R6" s="60"/>
      <c r="S6" s="60"/>
      <c r="T6" s="61"/>
      <c r="U6" s="61"/>
      <c r="V6" s="61"/>
      <c r="W6" s="61"/>
      <c r="X6" s="52">
        <v>-1</v>
      </c>
      <c r="AE6" s="61"/>
      <c r="AK6" s="61"/>
      <c r="AP6" s="62"/>
      <c r="AQ6" s="63"/>
      <c r="AS6" s="53"/>
      <c r="AT6" s="54"/>
      <c r="AU6" s="55"/>
      <c r="AV6" s="55"/>
      <c r="BI6" s="61"/>
      <c r="BR6" s="64"/>
      <c r="BW6" s="61"/>
      <c r="BX6" s="61"/>
      <c r="BY6" s="65"/>
      <c r="CE6" s="66"/>
      <c r="CF6" s="62"/>
      <c r="CG6" s="66"/>
      <c r="CH6" s="65"/>
      <c r="CI6" s="67"/>
      <c r="CL6" s="62"/>
      <c r="CM6" s="66"/>
      <c r="CN6" s="67"/>
    </row>
    <row r="7" spans="1:92" s="19" customFormat="1" ht="10.199999999999999" x14ac:dyDescent="0.2">
      <c r="G7" s="20"/>
      <c r="H7" s="21"/>
      <c r="L7" s="20"/>
      <c r="M7" s="20"/>
      <c r="N7" s="21"/>
      <c r="O7" s="8"/>
      <c r="Q7" s="38"/>
      <c r="R7" s="39"/>
      <c r="S7" s="39"/>
      <c r="T7" s="10"/>
      <c r="U7" s="10"/>
      <c r="V7" s="10"/>
      <c r="W7" s="10"/>
      <c r="AE7" s="10"/>
      <c r="AK7" s="10"/>
      <c r="AP7" s="23"/>
      <c r="AQ7" s="30">
        <f>AVERAGE(AQ2:AQ5)</f>
        <v>24.824497956482034</v>
      </c>
      <c r="AS7" s="20"/>
      <c r="AT7" s="42"/>
      <c r="AU7" s="31"/>
      <c r="AV7" s="31"/>
      <c r="BI7" s="10"/>
      <c r="BR7" s="46"/>
      <c r="BW7" s="10"/>
      <c r="BX7" s="10"/>
      <c r="BY7" s="24"/>
      <c r="BZ7" s="23"/>
      <c r="CB7" s="14"/>
      <c r="CD7" s="18"/>
      <c r="CE7" s="27"/>
      <c r="CF7" s="23"/>
      <c r="CG7" s="27"/>
      <c r="CH7" s="24"/>
      <c r="CI7" s="28"/>
      <c r="CL7" s="23"/>
      <c r="CM7" s="27"/>
      <c r="CN7" s="28"/>
    </row>
    <row r="8" spans="1:92" s="19" customFormat="1" ht="10.199999999999999" x14ac:dyDescent="0.2">
      <c r="G8" s="20"/>
      <c r="H8" s="21"/>
      <c r="L8" s="20"/>
      <c r="M8" s="20"/>
      <c r="N8" s="21"/>
      <c r="O8" s="8"/>
      <c r="Q8" s="38"/>
      <c r="R8" s="39"/>
      <c r="S8" s="39"/>
      <c r="T8" s="10"/>
      <c r="U8" s="10"/>
      <c r="V8" s="10"/>
      <c r="W8" s="10"/>
      <c r="AE8" s="10"/>
      <c r="AK8" s="10"/>
      <c r="AP8" s="10"/>
      <c r="AQ8" s="22"/>
      <c r="AS8" s="20"/>
      <c r="AT8" s="29"/>
      <c r="AU8" s="10"/>
      <c r="AV8" s="10"/>
      <c r="BI8" s="10"/>
      <c r="BR8" s="46"/>
      <c r="BW8" s="10"/>
      <c r="BX8" s="10"/>
      <c r="BY8" s="24"/>
      <c r="CE8" s="27"/>
      <c r="CF8" s="23"/>
      <c r="CL8" s="23"/>
      <c r="CM8" s="27"/>
      <c r="CN8" s="28"/>
    </row>
    <row r="9" spans="1:92" s="19" customFormat="1" ht="10.199999999999999" x14ac:dyDescent="0.2">
      <c r="G9" s="20"/>
      <c r="H9" s="21"/>
      <c r="L9" s="20"/>
      <c r="M9" s="20"/>
      <c r="N9" s="21"/>
      <c r="O9" s="8"/>
      <c r="Q9" s="38"/>
      <c r="R9" s="39"/>
      <c r="S9" s="39"/>
      <c r="T9" s="10"/>
      <c r="U9" s="10"/>
      <c r="V9" s="10"/>
      <c r="W9" s="10"/>
      <c r="AE9" s="10"/>
      <c r="AK9" s="10"/>
      <c r="AP9" s="23"/>
      <c r="AQ9" s="30"/>
      <c r="AS9" s="20"/>
      <c r="AT9" s="42"/>
      <c r="AU9" s="31"/>
      <c r="AV9" s="31"/>
      <c r="BI9" s="10"/>
      <c r="BR9" s="46"/>
      <c r="BV9" s="14"/>
      <c r="BW9" s="10"/>
      <c r="BX9" s="10"/>
      <c r="BY9" s="24"/>
      <c r="CE9" s="27"/>
      <c r="CF9" s="23"/>
      <c r="CL9" s="23"/>
      <c r="CM9" s="27"/>
      <c r="CN9" s="28"/>
    </row>
    <row r="10" spans="1:92" s="19" customFormat="1" ht="10.199999999999999" x14ac:dyDescent="0.2">
      <c r="G10" s="20"/>
      <c r="H10" s="21"/>
      <c r="L10" s="20"/>
      <c r="M10" s="20"/>
      <c r="N10" s="21"/>
      <c r="O10" s="8"/>
      <c r="Q10" s="38"/>
      <c r="R10" s="39"/>
      <c r="S10" s="39"/>
      <c r="T10" s="10"/>
      <c r="U10" s="10"/>
      <c r="V10" s="10"/>
      <c r="W10" s="10"/>
      <c r="AE10" s="10"/>
      <c r="AK10" s="10"/>
      <c r="AP10" s="10"/>
      <c r="AQ10" s="22"/>
      <c r="AS10" s="20"/>
      <c r="AT10" s="29"/>
      <c r="AU10" s="10"/>
      <c r="AV10" s="10"/>
      <c r="BI10" s="10"/>
      <c r="BR10" s="46"/>
      <c r="BV10" s="14"/>
      <c r="BW10" s="10"/>
      <c r="BX10" s="10"/>
      <c r="BY10" s="24"/>
      <c r="CE10" s="27"/>
      <c r="CF10" s="23"/>
      <c r="CL10" s="23"/>
      <c r="CM10" s="27"/>
      <c r="CN10" s="28"/>
    </row>
    <row r="11" spans="1:92" s="19" customFormat="1" ht="10.199999999999999" x14ac:dyDescent="0.2">
      <c r="G11" s="20"/>
      <c r="H11" s="21"/>
      <c r="L11" s="20"/>
      <c r="M11" s="20"/>
      <c r="N11" s="21"/>
      <c r="O11" s="8"/>
      <c r="Q11" s="38"/>
      <c r="R11" s="39"/>
      <c r="S11" s="39"/>
      <c r="T11" s="10"/>
      <c r="U11" s="10"/>
      <c r="V11" s="10"/>
      <c r="W11" s="10"/>
      <c r="AE11" s="10"/>
      <c r="AK11" s="10"/>
      <c r="AP11" s="23"/>
      <c r="AQ11" s="30"/>
      <c r="AS11" s="20"/>
      <c r="AT11" s="42"/>
      <c r="AU11" s="31"/>
      <c r="AV11" s="31"/>
      <c r="BI11" s="10"/>
      <c r="BR11" s="46"/>
      <c r="BV11" s="14"/>
      <c r="BW11" s="10"/>
      <c r="BX11" s="10"/>
      <c r="BY11" s="24"/>
      <c r="BZ11" s="23"/>
      <c r="CB11" s="14"/>
      <c r="CD11" s="18"/>
      <c r="CE11" s="27"/>
      <c r="CF11" s="23"/>
      <c r="CG11" s="27"/>
      <c r="CH11" s="24"/>
      <c r="CI11" s="28"/>
      <c r="CL11" s="23"/>
      <c r="CM11" s="27"/>
      <c r="CN11" s="28"/>
    </row>
    <row r="12" spans="1:92" s="14" customFormat="1" ht="10.199999999999999" x14ac:dyDescent="0.2">
      <c r="H12" s="32"/>
      <c r="N12" s="32"/>
      <c r="Q12" s="9"/>
      <c r="T12" s="9"/>
      <c r="U12" s="9"/>
      <c r="V12" s="9"/>
      <c r="W12" s="9"/>
      <c r="AE12" s="9"/>
      <c r="AK12" s="9"/>
      <c r="AP12" s="9"/>
      <c r="AQ12" s="30"/>
      <c r="AT12" s="23"/>
      <c r="AU12" s="9"/>
      <c r="AV12" s="9"/>
      <c r="AZ12" s="19"/>
      <c r="BA12" s="19"/>
      <c r="BB12" s="19"/>
      <c r="BC12" s="19"/>
      <c r="BH12" s="19"/>
      <c r="BI12" s="9"/>
      <c r="BJ12" s="9"/>
      <c r="BN12" s="19"/>
      <c r="BU12" s="19"/>
      <c r="BW12" s="9"/>
      <c r="BX12" s="9"/>
    </row>
    <row r="13" spans="1:92" s="14" customFormat="1" ht="10.199999999999999" x14ac:dyDescent="0.2">
      <c r="H13" s="32"/>
      <c r="N13" s="32"/>
      <c r="Q13" s="9"/>
      <c r="T13" s="9"/>
      <c r="U13" s="9"/>
      <c r="V13" s="9"/>
      <c r="W13" s="9"/>
      <c r="AE13" s="9"/>
      <c r="AK13" s="9"/>
      <c r="AN13" s="9"/>
      <c r="AO13" s="9"/>
      <c r="AP13" s="9"/>
      <c r="AQ13" s="30"/>
      <c r="AT13" s="23"/>
      <c r="AU13" s="9"/>
      <c r="AV13" s="9"/>
      <c r="AZ13" s="19"/>
      <c r="BA13" s="19"/>
      <c r="BB13" s="19"/>
      <c r="BC13" s="19"/>
      <c r="BI13" s="9"/>
      <c r="BJ13" s="9"/>
    </row>
    <row r="14" spans="1:92" s="14" customFormat="1" ht="10.199999999999999" x14ac:dyDescent="0.2">
      <c r="H14" s="32"/>
      <c r="N14" s="32"/>
      <c r="Q14" s="9"/>
      <c r="T14" s="9"/>
      <c r="U14" s="9"/>
      <c r="V14" s="9"/>
      <c r="W14" s="9"/>
      <c r="AE14" s="9"/>
      <c r="AK14" s="9"/>
      <c r="AN14" s="9"/>
      <c r="AO14" s="9"/>
      <c r="AP14" s="9"/>
      <c r="AQ14" s="30"/>
      <c r="AR14" s="47"/>
      <c r="AT14" s="23"/>
      <c r="AU14" s="9"/>
      <c r="AV14" s="43"/>
      <c r="AZ14" s="19"/>
      <c r="BA14" s="19"/>
      <c r="BB14" s="19"/>
      <c r="BC14" s="19"/>
      <c r="BH14" s="19"/>
      <c r="BI14" s="9"/>
      <c r="BJ14" s="9"/>
      <c r="BN14" s="19"/>
      <c r="BV14" s="33"/>
    </row>
    <row r="15" spans="1:92" s="14" customFormat="1" x14ac:dyDescent="0.25">
      <c r="H15" s="32"/>
      <c r="N15" s="32"/>
      <c r="Q15" s="9"/>
      <c r="T15" s="9"/>
      <c r="U15" s="9"/>
      <c r="V15" s="9"/>
      <c r="W15" s="9"/>
      <c r="AE15" s="9"/>
      <c r="AK15" s="9"/>
      <c r="AN15" s="9"/>
      <c r="AO15" s="9"/>
      <c r="AP15" s="9"/>
      <c r="AQ15" s="30"/>
      <c r="AR15" s="44"/>
      <c r="AT15" s="23"/>
      <c r="AU15" s="9"/>
      <c r="AV15" s="9"/>
      <c r="AZ15" s="19"/>
      <c r="BA15" s="19"/>
      <c r="BB15" s="19"/>
      <c r="BC15" s="19"/>
      <c r="BH15" s="19"/>
      <c r="BI15" s="9"/>
      <c r="BJ15" s="9"/>
      <c r="BN15" s="19"/>
      <c r="BV15"/>
    </row>
    <row r="16" spans="1:92" s="14" customFormat="1" x14ac:dyDescent="0.25">
      <c r="H16" s="23"/>
      <c r="N16" s="32"/>
      <c r="Q16" s="9"/>
      <c r="T16" s="9"/>
      <c r="U16" s="9"/>
      <c r="V16" s="9"/>
      <c r="W16" s="9"/>
      <c r="AE16" s="9"/>
      <c r="AK16" s="9"/>
      <c r="AN16" s="9"/>
      <c r="AO16" s="9"/>
      <c r="AP16" s="9"/>
      <c r="AQ16" s="30"/>
      <c r="AR16"/>
      <c r="AT16" s="23"/>
      <c r="AU16" s="9"/>
      <c r="AV16" s="9"/>
      <c r="AZ16" s="19"/>
      <c r="BA16" s="19"/>
      <c r="BB16" s="19"/>
      <c r="BC16" s="19"/>
      <c r="BH16" s="19"/>
      <c r="BI16" s="9"/>
      <c r="BJ16" s="9"/>
      <c r="BN16" s="19"/>
      <c r="BV16"/>
    </row>
    <row r="17" spans="7:77" s="14" customFormat="1" x14ac:dyDescent="0.25">
      <c r="H17" s="32"/>
      <c r="N17" s="32"/>
      <c r="Q17" s="9"/>
      <c r="T17" s="9"/>
      <c r="U17" s="9"/>
      <c r="V17" s="9"/>
      <c r="W17" s="9"/>
      <c r="AE17" s="9"/>
      <c r="AK17" s="9"/>
      <c r="AN17" s="9"/>
      <c r="AO17" s="9"/>
      <c r="AP17" s="9"/>
      <c r="AQ17" s="30"/>
      <c r="AT17" s="23"/>
      <c r="AU17" s="9"/>
      <c r="AV17" s="9"/>
      <c r="AZ17" s="19"/>
      <c r="BA17" s="19"/>
      <c r="BB17" s="19"/>
      <c r="BH17" s="19"/>
      <c r="BI17" s="9"/>
      <c r="BJ17" s="9"/>
      <c r="BN17" s="19"/>
      <c r="BV17"/>
    </row>
    <row r="18" spans="7:77" s="14" customFormat="1" x14ac:dyDescent="0.25">
      <c r="H18" s="32"/>
      <c r="N18" s="32"/>
      <c r="Q18" s="9"/>
      <c r="T18" s="9"/>
      <c r="U18" s="9"/>
      <c r="V18" s="9"/>
      <c r="W18" s="9"/>
      <c r="AE18" s="9"/>
      <c r="AK18" s="9"/>
      <c r="AN18" s="9"/>
      <c r="AO18" s="9"/>
      <c r="AP18" s="9"/>
      <c r="AQ18" s="30"/>
      <c r="AT18" s="23"/>
      <c r="AU18" s="9"/>
      <c r="AV18" s="9"/>
      <c r="AZ18" s="19"/>
      <c r="BA18" s="19"/>
      <c r="BB18" s="19"/>
      <c r="BH18" s="19"/>
      <c r="BI18" s="9"/>
      <c r="BJ18" s="9"/>
      <c r="BN18" s="19"/>
      <c r="BV18"/>
    </row>
    <row r="19" spans="7:77" s="33" customFormat="1" x14ac:dyDescent="0.25">
      <c r="G19" s="20"/>
      <c r="H19" s="21"/>
      <c r="L19" s="20"/>
      <c r="M19" s="20"/>
      <c r="N19" s="21"/>
      <c r="Q19" s="34"/>
      <c r="R19" s="20"/>
      <c r="S19" s="20"/>
      <c r="T19" s="10"/>
      <c r="U19" s="10"/>
      <c r="V19" s="10"/>
      <c r="W19" s="10"/>
      <c r="AE19" s="35"/>
      <c r="AK19" s="35"/>
      <c r="AN19" s="35"/>
      <c r="AO19" s="35"/>
      <c r="AP19" s="35"/>
      <c r="AQ19" s="36"/>
      <c r="AS19" s="20"/>
      <c r="AT19" s="37"/>
      <c r="AU19" s="35"/>
      <c r="AV19" s="35"/>
      <c r="AZ19" s="19"/>
      <c r="BA19" s="19"/>
      <c r="BB19" s="19"/>
      <c r="BC19" s="14"/>
      <c r="BH19" s="19"/>
      <c r="BI19" s="35"/>
      <c r="BJ19" s="35"/>
      <c r="BN19" s="19"/>
      <c r="BV19"/>
      <c r="BW19" s="35"/>
      <c r="BX19" s="35"/>
      <c r="BY19" s="24"/>
    </row>
    <row r="20" spans="7:77" x14ac:dyDescent="0.25">
      <c r="AZ20" s="19"/>
      <c r="BA20" s="19"/>
      <c r="BB20" s="19"/>
      <c r="BC20" s="14"/>
      <c r="BH20" s="4"/>
      <c r="BN20" s="4"/>
    </row>
    <row r="21" spans="7:77" x14ac:dyDescent="0.25">
      <c r="AZ21" s="19"/>
      <c r="BA21" s="19"/>
      <c r="BB21" s="19"/>
      <c r="BC21" s="14"/>
      <c r="BH21" s="4"/>
      <c r="BN21" s="4"/>
    </row>
    <row r="22" spans="7:77" x14ac:dyDescent="0.25">
      <c r="AZ22" s="14"/>
      <c r="BA22" s="14"/>
      <c r="BB22" s="19"/>
      <c r="BC22" s="14"/>
      <c r="BH22" s="4"/>
      <c r="BN22" s="4"/>
    </row>
    <row r="23" spans="7:77" x14ac:dyDescent="0.25">
      <c r="AZ23" s="14"/>
      <c r="BA23" s="14"/>
      <c r="BB23" s="14"/>
      <c r="BC23" s="14"/>
      <c r="BH23" s="4"/>
      <c r="BN23" s="4"/>
    </row>
    <row r="24" spans="7:77" x14ac:dyDescent="0.25">
      <c r="AZ24" s="14"/>
      <c r="BA24" s="14"/>
      <c r="BB24" s="14"/>
      <c r="BC24" s="33"/>
      <c r="BH24" s="4"/>
      <c r="BN24" s="4"/>
    </row>
    <row r="25" spans="7:77" x14ac:dyDescent="0.25">
      <c r="AZ25" s="14"/>
      <c r="BA25" s="14"/>
      <c r="BB25" s="14"/>
      <c r="BH25" s="4"/>
      <c r="BN25" s="4"/>
    </row>
    <row r="26" spans="7:77" x14ac:dyDescent="0.25">
      <c r="AZ26" s="14"/>
      <c r="BA26" s="14"/>
      <c r="BB26" s="14"/>
      <c r="BH26" s="4"/>
      <c r="BN26" s="4"/>
    </row>
    <row r="27" spans="7:77" x14ac:dyDescent="0.25">
      <c r="AZ27" s="14"/>
      <c r="BA27" s="14"/>
      <c r="BB27" s="14"/>
      <c r="BH27" s="4"/>
      <c r="BN27" s="4"/>
    </row>
    <row r="28" spans="7:77" x14ac:dyDescent="0.25">
      <c r="AZ28" s="14"/>
      <c r="BA28" s="14"/>
      <c r="BB28" s="14"/>
      <c r="BH28" s="4"/>
      <c r="BN28" s="4"/>
    </row>
    <row r="29" spans="7:77" x14ac:dyDescent="0.25">
      <c r="AZ29" s="33"/>
      <c r="BA29" s="33"/>
      <c r="BB29" s="33"/>
      <c r="BH29" s="4"/>
      <c r="BN29" s="4"/>
    </row>
  </sheetData>
  <phoneticPr fontId="7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"/>
  <sheetViews>
    <sheetView topLeftCell="I1" workbookViewId="0">
      <selection activeCell="AP3" sqref="AP3"/>
    </sheetView>
  </sheetViews>
  <sheetFormatPr baseColWidth="10" defaultRowHeight="12.6" x14ac:dyDescent="0.25"/>
  <cols>
    <col min="1" max="1" width="11.66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customWidth="1"/>
    <col min="8" max="8" width="19.88671875" style="5" customWidth="1"/>
    <col min="9" max="9" width="5.109375" customWidth="1"/>
    <col min="10" max="10" width="5.6640625" customWidth="1"/>
    <col min="11" max="11" width="4.6640625" customWidth="1"/>
    <col min="12" max="12" width="21.44140625" customWidth="1"/>
    <col min="13" max="13" width="4.6640625" customWidth="1"/>
    <col min="14" max="14" width="11.6640625" style="5" customWidth="1"/>
    <col min="15" max="15" width="4.6640625" customWidth="1"/>
    <col min="16" max="16" width="7.88671875" customWidth="1"/>
    <col min="17" max="17" width="9.6640625" style="1" customWidth="1"/>
    <col min="18" max="18" width="5.5546875" customWidth="1"/>
    <col min="19" max="19" width="6.5546875" customWidth="1"/>
    <col min="20" max="20" width="25.6640625" style="1" customWidth="1"/>
    <col min="21" max="21" width="7.44140625" style="1" customWidth="1"/>
    <col min="22" max="22" width="7.33203125" style="1" customWidth="1"/>
    <col min="23" max="23" width="8.44140625" style="1" customWidth="1"/>
    <col min="24" max="24" width="7.88671875" customWidth="1"/>
    <col min="25" max="25" width="9.6640625" customWidth="1"/>
    <col min="26" max="29" width="7.88671875" customWidth="1"/>
    <col min="30" max="30" width="22.33203125" customWidth="1"/>
    <col min="31" max="31" width="9.33203125" style="2" customWidth="1"/>
    <col min="32" max="32" width="4.6640625" customWidth="1"/>
    <col min="33" max="33" width="1.44140625" customWidth="1"/>
    <col min="34" max="34" width="1.6640625" customWidth="1"/>
    <col min="35" max="35" width="1.33203125" customWidth="1"/>
    <col min="36" max="36" width="15.109375" customWidth="1"/>
    <col min="37" max="37" width="20.109375" style="2" customWidth="1"/>
    <col min="38" max="38" width="12.88671875" customWidth="1"/>
    <col min="39" max="39" width="7.88671875" style="6" customWidth="1"/>
    <col min="40" max="40" width="13.6640625" style="1" customWidth="1"/>
    <col min="41" max="41" width="16" style="1" customWidth="1"/>
    <col min="42" max="42" width="12.109375" style="1" customWidth="1"/>
    <col min="43" max="43" width="5.6640625" style="7" customWidth="1"/>
    <col min="44" max="44" width="11.109375" customWidth="1"/>
    <col min="45" max="45" width="5.109375" customWidth="1"/>
    <col min="46" max="46" width="5.44140625" style="3" customWidth="1"/>
    <col min="47" max="47" width="10" style="2" customWidth="1"/>
    <col min="48" max="48" width="5.6640625" style="2" customWidth="1"/>
    <col min="49" max="49" width="7.88671875" customWidth="1"/>
    <col min="50" max="50" width="14.109375" customWidth="1"/>
    <col min="51" max="51" width="4.6640625" customWidth="1"/>
    <col min="52" max="52" width="18.33203125" customWidth="1"/>
    <col min="53" max="53" width="19.44140625" customWidth="1"/>
    <col min="54" max="54" width="7.88671875" customWidth="1"/>
    <col min="55" max="55" width="20.5546875" customWidth="1"/>
    <col min="56" max="56" width="15.33203125" customWidth="1"/>
    <col min="57" max="57" width="11.6640625" customWidth="1"/>
    <col min="58" max="58" width="7.6640625" customWidth="1"/>
    <col min="59" max="59" width="7.88671875" customWidth="1"/>
    <col min="60" max="60" width="5.6640625" customWidth="1"/>
    <col min="61" max="62" width="9.33203125" style="2" customWidth="1"/>
    <col min="63" max="63" width="10" customWidth="1"/>
    <col min="64" max="65" width="10.109375" customWidth="1"/>
    <col min="66" max="66" width="9.6640625" customWidth="1"/>
    <col min="67" max="67" width="5.44140625" customWidth="1"/>
    <col min="68" max="68" width="9.33203125" customWidth="1"/>
    <col min="70" max="70" width="16.6640625" customWidth="1"/>
    <col min="71" max="71" width="18.33203125" customWidth="1"/>
    <col min="72" max="72" width="19.44140625" customWidth="1"/>
    <col min="73" max="73" width="7.88671875" customWidth="1"/>
    <col min="74" max="75" width="20.5546875" customWidth="1"/>
    <col min="76" max="76" width="12.44140625" customWidth="1"/>
    <col min="77" max="77" width="13.6640625" customWidth="1"/>
    <col min="78" max="78" width="8.5546875" customWidth="1"/>
    <col min="79" max="80" width="9.6640625" customWidth="1"/>
    <col min="81" max="81" width="13.88671875" customWidth="1"/>
    <col min="82" max="82" width="11" customWidth="1"/>
    <col min="83" max="83" width="20.109375" customWidth="1"/>
    <col min="84" max="84" width="23.5546875" customWidth="1"/>
    <col min="85" max="85" width="17.44140625" customWidth="1"/>
    <col min="86" max="86" width="14.33203125" customWidth="1"/>
    <col min="87" max="87" width="8" customWidth="1"/>
    <col min="89" max="89" width="13.6640625" customWidth="1"/>
    <col min="90" max="90" width="28.33203125" customWidth="1"/>
    <col min="91" max="91" width="17.44140625" customWidth="1"/>
    <col min="92" max="92" width="12.6640625" customWidth="1"/>
  </cols>
  <sheetData>
    <row r="1" spans="1:92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9" t="s">
        <v>6</v>
      </c>
      <c r="J1" s="9" t="s">
        <v>8</v>
      </c>
      <c r="K1" s="9" t="s">
        <v>3</v>
      </c>
      <c r="L1" s="9" t="s">
        <v>41</v>
      </c>
      <c r="M1" s="9" t="s">
        <v>3</v>
      </c>
      <c r="N1" s="11" t="s">
        <v>9</v>
      </c>
      <c r="O1" s="9" t="s">
        <v>3</v>
      </c>
      <c r="P1" s="10"/>
      <c r="Q1" s="9" t="s">
        <v>40</v>
      </c>
      <c r="R1" s="9" t="s">
        <v>10</v>
      </c>
      <c r="S1" s="9" t="s">
        <v>11</v>
      </c>
      <c r="T1" s="9" t="s">
        <v>55</v>
      </c>
      <c r="U1" s="9" t="s">
        <v>10</v>
      </c>
      <c r="V1" s="9" t="s">
        <v>11</v>
      </c>
      <c r="W1" s="9" t="s">
        <v>12</v>
      </c>
      <c r="X1" s="10" t="s">
        <v>39</v>
      </c>
      <c r="Y1" s="9" t="s">
        <v>0</v>
      </c>
      <c r="Z1" s="10" t="s">
        <v>46</v>
      </c>
      <c r="AA1" s="10" t="s">
        <v>3</v>
      </c>
      <c r="AB1" s="10" t="s">
        <v>47</v>
      </c>
      <c r="AC1" s="10" t="s">
        <v>3</v>
      </c>
      <c r="AD1" s="12" t="s">
        <v>14</v>
      </c>
      <c r="AE1" s="9" t="s">
        <v>15</v>
      </c>
      <c r="AF1" s="9" t="s">
        <v>3</v>
      </c>
      <c r="AJ1" s="40" t="s">
        <v>16</v>
      </c>
      <c r="AK1" s="9" t="s">
        <v>17</v>
      </c>
      <c r="AL1" s="13" t="s">
        <v>18</v>
      </c>
      <c r="AM1" s="14" t="s">
        <v>19</v>
      </c>
      <c r="AN1" s="13" t="s">
        <v>20</v>
      </c>
      <c r="AO1" s="13" t="s">
        <v>21</v>
      </c>
      <c r="AP1" s="13" t="s">
        <v>22</v>
      </c>
      <c r="AQ1" s="15" t="s">
        <v>8</v>
      </c>
      <c r="AR1" s="9" t="s">
        <v>5</v>
      </c>
      <c r="AS1" s="9" t="s">
        <v>6</v>
      </c>
      <c r="AT1" s="16" t="s">
        <v>23</v>
      </c>
      <c r="AU1" s="17" t="s">
        <v>24</v>
      </c>
      <c r="AV1" s="17"/>
      <c r="AW1" s="10" t="s">
        <v>2</v>
      </c>
      <c r="AX1" s="9" t="s">
        <v>25</v>
      </c>
      <c r="AY1" s="9" t="s">
        <v>3</v>
      </c>
      <c r="AZ1" s="9" t="s">
        <v>26</v>
      </c>
      <c r="BA1" s="9" t="s">
        <v>27</v>
      </c>
      <c r="BB1" s="10" t="s">
        <v>13</v>
      </c>
      <c r="BC1" s="9" t="s">
        <v>28</v>
      </c>
      <c r="BD1" s="9" t="s">
        <v>29</v>
      </c>
      <c r="BE1" s="9" t="s">
        <v>30</v>
      </c>
      <c r="BF1" s="9" t="s">
        <v>31</v>
      </c>
      <c r="BG1" s="10" t="s">
        <v>13</v>
      </c>
      <c r="BH1" s="10" t="s">
        <v>8</v>
      </c>
      <c r="BI1" s="9" t="s">
        <v>15</v>
      </c>
      <c r="BJ1" s="9" t="s">
        <v>3</v>
      </c>
      <c r="BK1" s="9" t="s">
        <v>32</v>
      </c>
      <c r="BL1" s="9" t="s">
        <v>33</v>
      </c>
      <c r="BM1" s="9" t="s">
        <v>34</v>
      </c>
      <c r="BN1" s="10" t="s">
        <v>35</v>
      </c>
      <c r="BR1" s="45" t="s">
        <v>36</v>
      </c>
      <c r="BS1" s="9" t="s">
        <v>26</v>
      </c>
      <c r="BT1" s="9" t="s">
        <v>27</v>
      </c>
      <c r="BU1" s="10" t="s">
        <v>13</v>
      </c>
      <c r="BV1" s="9" t="s">
        <v>28</v>
      </c>
      <c r="CD1" s="18"/>
    </row>
    <row r="2" spans="1:92" s="19" customFormat="1" ht="13.2" x14ac:dyDescent="0.25">
      <c r="A2" s="19" t="s">
        <v>42</v>
      </c>
      <c r="B2" s="19" t="s">
        <v>43</v>
      </c>
      <c r="C2" s="19">
        <v>2</v>
      </c>
      <c r="D2" s="19">
        <v>0.5</v>
      </c>
      <c r="E2" s="19">
        <v>28.3</v>
      </c>
      <c r="F2" s="19">
        <v>13.5</v>
      </c>
      <c r="G2" s="20">
        <v>0.2</v>
      </c>
      <c r="H2" s="21">
        <f>-8033*LN(F2/100)</f>
        <v>16085.925860867603</v>
      </c>
      <c r="I2" s="19">
        <v>119</v>
      </c>
      <c r="J2" s="56">
        <v>10</v>
      </c>
      <c r="K2" s="19">
        <v>1.5</v>
      </c>
      <c r="L2" s="20">
        <f>F2/((100-J2)/100)</f>
        <v>15</v>
      </c>
      <c r="M2" s="20">
        <f>G2+K2</f>
        <v>1.7</v>
      </c>
      <c r="N2" s="21">
        <f>-8033*LN(L2/100)</f>
        <v>15239.564838588285</v>
      </c>
      <c r="O2" s="8">
        <f>(8033*LN((L2+M2)/100) - 8033*LN((L2-M2)/100))/2</f>
        <v>914.33487406922177</v>
      </c>
      <c r="Q2" s="38">
        <f>(R2+S2)/2</f>
        <v>-16200</v>
      </c>
      <c r="R2" s="39">
        <v>-13900</v>
      </c>
      <c r="S2" s="39">
        <v>-18500</v>
      </c>
      <c r="T2" s="10">
        <f>2000-Q2</f>
        <v>18200</v>
      </c>
      <c r="U2" s="10">
        <f t="shared" ref="U2:V5" si="0">(2000-R2)</f>
        <v>15900</v>
      </c>
      <c r="V2" s="10">
        <f t="shared" si="0"/>
        <v>20500</v>
      </c>
      <c r="W2" s="10">
        <f>ABS(U2-V2)/2</f>
        <v>2300</v>
      </c>
      <c r="X2" s="19">
        <v>2</v>
      </c>
      <c r="Y2" s="19" t="s">
        <v>42</v>
      </c>
      <c r="Z2" s="19">
        <v>-6.04</v>
      </c>
      <c r="AA2" s="19">
        <v>0.1</v>
      </c>
      <c r="AB2" s="19">
        <v>-5.71</v>
      </c>
      <c r="AC2" s="19">
        <v>0.1</v>
      </c>
      <c r="AD2" s="68"/>
      <c r="AE2" s="74"/>
      <c r="AF2" s="74"/>
      <c r="AG2" s="75"/>
      <c r="AH2" s="75"/>
      <c r="AI2" s="75"/>
      <c r="AJ2" s="76"/>
      <c r="AK2" s="77"/>
      <c r="AL2" s="78"/>
      <c r="AM2" s="78"/>
      <c r="AN2" s="79"/>
      <c r="AO2" s="79"/>
      <c r="AP2" s="80"/>
      <c r="AQ2" s="81"/>
      <c r="AR2" s="75"/>
      <c r="AS2" s="82"/>
      <c r="AT2" s="83"/>
      <c r="AU2" s="84"/>
      <c r="AV2" s="10"/>
      <c r="BB2" s="19">
        <v>108.7</v>
      </c>
      <c r="BD2" s="19">
        <v>0</v>
      </c>
      <c r="BE2" s="19">
        <v>1990</v>
      </c>
      <c r="BF2" s="19" t="s">
        <v>37</v>
      </c>
      <c r="BG2" s="19">
        <v>108.7</v>
      </c>
      <c r="BH2" s="19">
        <v>0</v>
      </c>
      <c r="BI2" s="38">
        <v>2</v>
      </c>
      <c r="BJ2" s="38">
        <v>2</v>
      </c>
      <c r="BK2" s="19">
        <v>-8.8699999999999992</v>
      </c>
      <c r="BL2" s="19">
        <v>-4.76</v>
      </c>
      <c r="BM2" s="19">
        <v>0.1</v>
      </c>
      <c r="BN2" s="19">
        <f>5730/LN(2)*LN((100-BH2)/100)</f>
        <v>0</v>
      </c>
      <c r="BR2" s="46"/>
      <c r="BU2" s="19">
        <v>108.7</v>
      </c>
      <c r="BW2" s="10"/>
      <c r="BX2" s="10"/>
      <c r="BY2" s="24"/>
      <c r="BZ2" s="23"/>
      <c r="CA2" s="25"/>
      <c r="CB2" s="14"/>
      <c r="CC2" s="26"/>
      <c r="CD2" s="18"/>
      <c r="CE2" s="27"/>
      <c r="CF2" s="23"/>
      <c r="CG2" s="27"/>
      <c r="CH2" s="27"/>
      <c r="CI2" s="28"/>
      <c r="CL2" s="23"/>
      <c r="CM2" s="27"/>
      <c r="CN2" s="28"/>
    </row>
    <row r="3" spans="1:92" s="19" customFormat="1" ht="13.2" x14ac:dyDescent="0.25">
      <c r="A3" s="19" t="s">
        <v>53</v>
      </c>
      <c r="B3" s="19" t="s">
        <v>54</v>
      </c>
      <c r="C3" s="19">
        <v>13</v>
      </c>
      <c r="D3" s="19">
        <v>0.5</v>
      </c>
      <c r="E3" s="19">
        <v>17.100000000000001</v>
      </c>
      <c r="F3" s="19">
        <v>16.170000000000002</v>
      </c>
      <c r="G3" s="20">
        <v>0.24</v>
      </c>
      <c r="H3" s="21">
        <f>-8033*LN(F3/100)</f>
        <v>14636.226512101775</v>
      </c>
      <c r="I3" s="19">
        <v>118</v>
      </c>
      <c r="J3" s="56">
        <v>10</v>
      </c>
      <c r="K3" s="19">
        <v>1.5</v>
      </c>
      <c r="L3" s="20">
        <f>F3/((100-J3)/100)</f>
        <v>17.966666666666669</v>
      </c>
      <c r="M3" s="20">
        <f>G3+K3</f>
        <v>1.74</v>
      </c>
      <c r="N3" s="21">
        <f>-8033*LN(L3/100)</f>
        <v>13789.865489822458</v>
      </c>
      <c r="O3" s="8">
        <f>(8033*LN((L3+M3)/100) - 8033*LN((L3-M3)/100))/2</f>
        <v>780.41000072306906</v>
      </c>
      <c r="Q3" s="38">
        <f>(R3+S3)/2</f>
        <v>-14300</v>
      </c>
      <c r="R3" s="39">
        <v>-12300</v>
      </c>
      <c r="S3" s="39">
        <v>-16300</v>
      </c>
      <c r="T3" s="10">
        <f>2000-Q3</f>
        <v>16300</v>
      </c>
      <c r="U3" s="10">
        <f t="shared" si="0"/>
        <v>14300</v>
      </c>
      <c r="V3" s="10">
        <f t="shared" si="0"/>
        <v>18300</v>
      </c>
      <c r="W3" s="10">
        <f>ABS(U3-V3)/2</f>
        <v>2000</v>
      </c>
      <c r="X3" s="19">
        <v>13</v>
      </c>
      <c r="Y3" s="19" t="s">
        <v>53</v>
      </c>
      <c r="Z3" s="19">
        <v>-7.69</v>
      </c>
      <c r="AA3" s="19">
        <v>0.1</v>
      </c>
      <c r="AB3" s="19">
        <v>-5.58</v>
      </c>
      <c r="AC3" s="19">
        <v>0.1</v>
      </c>
      <c r="AD3" s="68" t="s">
        <v>57</v>
      </c>
      <c r="AE3" s="109">
        <v>14695</v>
      </c>
      <c r="AF3" s="109">
        <v>84</v>
      </c>
      <c r="AK3" s="35">
        <f>2000-AE3</f>
        <v>-12695</v>
      </c>
      <c r="AL3" s="4">
        <v>229.8</v>
      </c>
      <c r="AM3" s="4">
        <v>36.299999999999997</v>
      </c>
      <c r="AN3" s="19">
        <f>(AL3)/10+100</f>
        <v>122.98</v>
      </c>
      <c r="AO3" s="19">
        <f>AM3/10</f>
        <v>3.63</v>
      </c>
      <c r="AP3" s="23">
        <f>F3/EXP(-(LN(2)/5730)*(AE3))</f>
        <v>95.65842943276634</v>
      </c>
      <c r="AQ3" s="30">
        <f>(1-(AP3/AN3))*100</f>
        <v>22.216271399604537</v>
      </c>
      <c r="AR3" s="19">
        <f t="shared" ref="AR3:AS5" si="1">F3</f>
        <v>16.170000000000002</v>
      </c>
      <c r="AS3" s="20">
        <f t="shared" si="1"/>
        <v>0.24</v>
      </c>
      <c r="AT3" s="42">
        <f>AP3*(AS3/AR3+AF3/AE3)</f>
        <v>1.9665967454650166</v>
      </c>
      <c r="AU3" s="31">
        <f>AT3+AO3</f>
        <v>5.5965967454650167</v>
      </c>
      <c r="AV3" s="31"/>
      <c r="BI3" s="10"/>
      <c r="BR3" s="46"/>
      <c r="BW3" s="10"/>
      <c r="BX3" s="10"/>
      <c r="BY3" s="24"/>
      <c r="BZ3" s="23"/>
      <c r="CB3" s="14"/>
      <c r="CD3" s="18"/>
      <c r="CE3" s="27"/>
      <c r="CF3" s="23"/>
      <c r="CG3" s="27"/>
      <c r="CH3" s="24"/>
      <c r="CI3" s="28"/>
      <c r="CL3" s="23"/>
      <c r="CM3" s="27"/>
      <c r="CN3" s="28"/>
    </row>
    <row r="4" spans="1:92" s="19" customFormat="1" ht="10.95" customHeight="1" x14ac:dyDescent="0.25">
      <c r="A4" s="19" t="s">
        <v>51</v>
      </c>
      <c r="B4" s="19" t="s">
        <v>52</v>
      </c>
      <c r="C4" s="19">
        <v>69</v>
      </c>
      <c r="D4" s="19">
        <v>0.5</v>
      </c>
      <c r="E4" s="19">
        <v>18.21</v>
      </c>
      <c r="F4" s="19">
        <v>17.72</v>
      </c>
      <c r="G4" s="20">
        <v>0.24</v>
      </c>
      <c r="H4" s="21">
        <f>-8033*LN(F4/100)</f>
        <v>13900.915642436021</v>
      </c>
      <c r="I4" s="19">
        <v>110</v>
      </c>
      <c r="J4" s="56">
        <v>10</v>
      </c>
      <c r="K4" s="19">
        <v>1.5</v>
      </c>
      <c r="L4" s="20">
        <f>F4/((100-J4)/100)</f>
        <v>19.688888888888886</v>
      </c>
      <c r="M4" s="20">
        <f>G4+K4</f>
        <v>1.74</v>
      </c>
      <c r="N4" s="21">
        <f>-8033*LN(L4/100)</f>
        <v>13054.554620156703</v>
      </c>
      <c r="O4" s="8">
        <f>(8033*LN((L4+M4)/100) - 8033*LN((L4-M4)/100))/2</f>
        <v>711.77098209897395</v>
      </c>
      <c r="Q4" s="38">
        <f>(R4+S4)/2</f>
        <v>-13500</v>
      </c>
      <c r="R4" s="39">
        <v>-11600</v>
      </c>
      <c r="S4" s="39">
        <v>-15400</v>
      </c>
      <c r="T4" s="10">
        <f>2000-Q4</f>
        <v>15500</v>
      </c>
      <c r="U4" s="10">
        <f t="shared" si="0"/>
        <v>13600</v>
      </c>
      <c r="V4" s="10">
        <f t="shared" si="0"/>
        <v>17400</v>
      </c>
      <c r="W4" s="10">
        <f>ABS(U4-V4)/2</f>
        <v>1900</v>
      </c>
      <c r="X4" s="19">
        <v>69</v>
      </c>
      <c r="Y4" s="19" t="s">
        <v>51</v>
      </c>
      <c r="Z4" s="19">
        <v>-7.96</v>
      </c>
      <c r="AA4" s="19">
        <v>0.1</v>
      </c>
      <c r="AB4" s="19">
        <v>-5.27</v>
      </c>
      <c r="AC4" s="19">
        <v>0.1</v>
      </c>
      <c r="AD4" s="68" t="s">
        <v>58</v>
      </c>
      <c r="AE4" s="10">
        <v>14290</v>
      </c>
      <c r="AF4" s="10">
        <v>94</v>
      </c>
      <c r="AK4" s="35">
        <f>2000-AE4</f>
        <v>-12290</v>
      </c>
      <c r="AL4" s="19">
        <v>228</v>
      </c>
      <c r="AM4" s="19">
        <v>35</v>
      </c>
      <c r="AN4" s="19">
        <f>(AL4)/10+100</f>
        <v>122.8</v>
      </c>
      <c r="AO4" s="19">
        <f>AM4/10</f>
        <v>3.5</v>
      </c>
      <c r="AP4" s="23">
        <f>F4/EXP(-(LN(2)/5730)*(AE4))</f>
        <v>99.815952304555623</v>
      </c>
      <c r="AQ4" s="30">
        <f>(1-(AP4/AN4))*100</f>
        <v>18.716651217788581</v>
      </c>
      <c r="AR4" s="19">
        <f t="shared" si="1"/>
        <v>17.72</v>
      </c>
      <c r="AS4" s="20">
        <f t="shared" si="1"/>
        <v>0.24</v>
      </c>
      <c r="AT4" s="42">
        <f>AP4*(AS4/AR4+AF4/AE4)</f>
        <v>2.0085010491257211</v>
      </c>
      <c r="AU4" s="31">
        <f>AT4+AO4</f>
        <v>5.5085010491257211</v>
      </c>
      <c r="AV4" s="10"/>
      <c r="BI4" s="38"/>
      <c r="BJ4" s="38"/>
      <c r="BR4" s="46"/>
      <c r="BW4" s="10"/>
      <c r="BX4" s="10"/>
      <c r="BY4" s="24"/>
      <c r="CE4" s="27"/>
      <c r="CF4" s="23"/>
      <c r="CG4" s="27"/>
      <c r="CH4" s="24"/>
      <c r="CI4" s="28"/>
      <c r="CL4" s="23"/>
      <c r="CM4" s="27"/>
      <c r="CN4" s="28"/>
    </row>
    <row r="5" spans="1:92" s="19" customFormat="1" ht="13.2" x14ac:dyDescent="0.25">
      <c r="A5" s="19" t="s">
        <v>44</v>
      </c>
      <c r="B5" s="19" t="s">
        <v>45</v>
      </c>
      <c r="C5" s="19">
        <v>140</v>
      </c>
      <c r="D5" s="19">
        <v>0.5</v>
      </c>
      <c r="E5" s="19">
        <v>27.6</v>
      </c>
      <c r="F5" s="19">
        <v>19.670000000000002</v>
      </c>
      <c r="G5" s="20">
        <v>0.32</v>
      </c>
      <c r="H5" s="21">
        <f>-8033*LN(F5/100)</f>
        <v>13062.264921965365</v>
      </c>
      <c r="I5" s="19">
        <v>130</v>
      </c>
      <c r="J5" s="56">
        <v>10</v>
      </c>
      <c r="K5" s="19">
        <v>1.5</v>
      </c>
      <c r="L5" s="20">
        <f>F5/((100-J5)/100)</f>
        <v>21.855555555555558</v>
      </c>
      <c r="M5" s="20">
        <f>G5+K5</f>
        <v>1.82</v>
      </c>
      <c r="N5" s="21">
        <f>-8033*LN(L5/100)</f>
        <v>12215.903899686045</v>
      </c>
      <c r="O5" s="8">
        <f>(8033*LN((L5+M5)/100) - 8033*LN((L5-M5)/100))/2</f>
        <v>670.49294845332497</v>
      </c>
      <c r="Q5" s="38">
        <f>(R5+S5)/2</f>
        <v>-12550</v>
      </c>
      <c r="R5" s="39">
        <v>-10800</v>
      </c>
      <c r="S5" s="39">
        <v>-14300</v>
      </c>
      <c r="T5" s="10">
        <f>2000-Q5</f>
        <v>14550</v>
      </c>
      <c r="U5" s="10">
        <f t="shared" si="0"/>
        <v>12800</v>
      </c>
      <c r="V5" s="10">
        <f t="shared" si="0"/>
        <v>16300</v>
      </c>
      <c r="W5" s="10">
        <f>ABS(U5-V5)/2</f>
        <v>1750</v>
      </c>
      <c r="X5" s="19">
        <v>140</v>
      </c>
      <c r="Y5" s="19" t="s">
        <v>44</v>
      </c>
      <c r="Z5" s="19">
        <v>-10.4</v>
      </c>
      <c r="AA5" s="19">
        <v>0.1</v>
      </c>
      <c r="AB5" s="19">
        <v>-9.1999999999999993</v>
      </c>
      <c r="AC5" s="19">
        <v>0.1</v>
      </c>
      <c r="AD5" s="68" t="s">
        <v>66</v>
      </c>
      <c r="AE5" s="10">
        <v>13231</v>
      </c>
      <c r="AF5" s="41">
        <v>71</v>
      </c>
      <c r="AK5" s="35">
        <f>2000-AE5</f>
        <v>-11231</v>
      </c>
      <c r="AL5" s="49">
        <v>206</v>
      </c>
      <c r="AM5" s="49">
        <v>16.3</v>
      </c>
      <c r="AN5" s="19">
        <f>(AL5)/10+100</f>
        <v>120.6</v>
      </c>
      <c r="AO5" s="19">
        <f>AM5/10</f>
        <v>1.6300000000000001</v>
      </c>
      <c r="AP5" s="23">
        <f>F5/EXP(-(LN(2)/5730)*(AE5))</f>
        <v>97.47768583642322</v>
      </c>
      <c r="AQ5" s="30">
        <f>(1-(AP5/AN5))*100</f>
        <v>19.172731478919381</v>
      </c>
      <c r="AR5" s="19">
        <f t="shared" si="1"/>
        <v>19.670000000000002</v>
      </c>
      <c r="AS5" s="20">
        <f t="shared" si="1"/>
        <v>0.32</v>
      </c>
      <c r="AT5" s="42">
        <f>AP5*(AS5/AR5+AF5/AE5)</f>
        <v>2.1088921606212372</v>
      </c>
      <c r="AU5" s="31">
        <f>AT5+AO5</f>
        <v>3.7388921606212371</v>
      </c>
      <c r="AV5" s="10"/>
      <c r="BI5" s="38"/>
      <c r="BJ5" s="38"/>
      <c r="BR5" s="46"/>
      <c r="BW5" s="10"/>
      <c r="BX5" s="10"/>
      <c r="BY5" s="24"/>
      <c r="CC5" s="26"/>
      <c r="CD5" s="26"/>
      <c r="CE5" s="27"/>
      <c r="CF5" s="23"/>
      <c r="CG5" s="27"/>
      <c r="CH5" s="24"/>
      <c r="CI5" s="28"/>
      <c r="CL5" s="23"/>
      <c r="CM5" s="27"/>
      <c r="CN5" s="28"/>
    </row>
    <row r="6" spans="1:92" s="52" customFormat="1" ht="10.199999999999999" x14ac:dyDescent="0.2">
      <c r="A6" s="52" t="s">
        <v>48</v>
      </c>
      <c r="B6" s="52" t="s">
        <v>49</v>
      </c>
      <c r="C6" s="52">
        <v>-1</v>
      </c>
      <c r="F6" s="52">
        <v>6.61</v>
      </c>
      <c r="G6" s="53">
        <v>0.17</v>
      </c>
      <c r="H6" s="57">
        <f>-8033*LN(F6/100)</f>
        <v>21822.339612556079</v>
      </c>
      <c r="I6" s="52">
        <v>130</v>
      </c>
      <c r="J6" s="52" t="s">
        <v>50</v>
      </c>
      <c r="L6" s="52" t="s">
        <v>50</v>
      </c>
      <c r="M6" s="53"/>
      <c r="N6" s="57">
        <f>H6</f>
        <v>21822.339612556079</v>
      </c>
      <c r="O6" s="58">
        <f>I6</f>
        <v>130</v>
      </c>
      <c r="Q6" s="59">
        <v>26000</v>
      </c>
      <c r="R6" s="60"/>
      <c r="S6" s="60"/>
      <c r="T6" s="61"/>
      <c r="U6" s="61"/>
      <c r="V6" s="61"/>
      <c r="W6" s="61"/>
      <c r="X6" s="52">
        <v>-1</v>
      </c>
      <c r="AE6" s="61"/>
      <c r="AK6" s="61"/>
      <c r="AP6" s="62"/>
      <c r="AQ6" s="63"/>
      <c r="AS6" s="53"/>
      <c r="AT6" s="54"/>
      <c r="AU6" s="55"/>
      <c r="AV6" s="55"/>
      <c r="BI6" s="61"/>
      <c r="BR6" s="64"/>
      <c r="BW6" s="61"/>
      <c r="BX6" s="61"/>
      <c r="BY6" s="65"/>
      <c r="CE6" s="66"/>
      <c r="CF6" s="62"/>
      <c r="CG6" s="66"/>
      <c r="CH6" s="65"/>
      <c r="CI6" s="67"/>
      <c r="CL6" s="62"/>
      <c r="CM6" s="66"/>
      <c r="CN6" s="67"/>
    </row>
    <row r="7" spans="1:92" s="19" customFormat="1" ht="10.199999999999999" x14ac:dyDescent="0.2">
      <c r="G7" s="20"/>
      <c r="H7" s="21"/>
      <c r="L7" s="20"/>
      <c r="M7" s="20"/>
      <c r="N7" s="21"/>
      <c r="O7" s="8"/>
      <c r="Q7" s="38"/>
      <c r="R7" s="39"/>
      <c r="S7" s="39"/>
      <c r="T7" s="10"/>
      <c r="U7" s="10"/>
      <c r="V7" s="10"/>
      <c r="W7" s="10"/>
      <c r="AE7" s="10"/>
      <c r="AK7" s="10"/>
      <c r="AP7" s="23"/>
      <c r="AQ7" s="30"/>
      <c r="AS7" s="20"/>
      <c r="AT7" s="42"/>
      <c r="AU7" s="31"/>
      <c r="AV7" s="31"/>
      <c r="BI7" s="10"/>
      <c r="BR7" s="46"/>
      <c r="BW7" s="10"/>
      <c r="BX7" s="10"/>
      <c r="BY7" s="24"/>
      <c r="BZ7" s="23"/>
      <c r="CB7" s="14"/>
      <c r="CD7" s="18"/>
      <c r="CE7" s="27"/>
      <c r="CF7" s="23"/>
      <c r="CG7" s="27"/>
      <c r="CH7" s="24"/>
      <c r="CI7" s="28"/>
      <c r="CL7" s="23"/>
      <c r="CM7" s="27"/>
      <c r="CN7" s="28"/>
    </row>
    <row r="8" spans="1:92" s="19" customFormat="1" ht="10.199999999999999" x14ac:dyDescent="0.2">
      <c r="G8" s="20"/>
      <c r="H8" s="21"/>
      <c r="L8" s="20"/>
      <c r="M8" s="20"/>
      <c r="N8" s="21"/>
      <c r="O8" s="8"/>
      <c r="Q8" s="38"/>
      <c r="R8" s="39"/>
      <c r="S8" s="39"/>
      <c r="T8" s="10"/>
      <c r="U8" s="10"/>
      <c r="V8" s="10"/>
      <c r="W8" s="10"/>
      <c r="AE8" s="10"/>
      <c r="AK8" s="10"/>
      <c r="AP8" s="10"/>
      <c r="AQ8" s="22"/>
      <c r="AS8" s="20"/>
      <c r="AT8" s="29"/>
      <c r="AU8" s="10"/>
      <c r="AV8" s="10"/>
      <c r="BI8" s="10"/>
      <c r="BR8" s="46"/>
      <c r="BW8" s="10"/>
      <c r="BX8" s="10"/>
      <c r="BY8" s="24"/>
      <c r="CE8" s="27"/>
      <c r="CF8" s="23"/>
      <c r="CL8" s="23"/>
      <c r="CM8" s="27"/>
      <c r="CN8" s="28"/>
    </row>
    <row r="9" spans="1:92" s="19" customFormat="1" ht="10.199999999999999" x14ac:dyDescent="0.2">
      <c r="G9" s="20"/>
      <c r="H9" s="21"/>
      <c r="L9" s="20"/>
      <c r="M9" s="20"/>
      <c r="N9" s="21"/>
      <c r="O9" s="8"/>
      <c r="Q9" s="38"/>
      <c r="R9" s="39"/>
      <c r="S9" s="39"/>
      <c r="T9" s="10"/>
      <c r="U9" s="10"/>
      <c r="V9" s="10"/>
      <c r="W9" s="10"/>
      <c r="AE9" s="10"/>
      <c r="AK9" s="10"/>
      <c r="AP9" s="23"/>
      <c r="AQ9" s="30"/>
      <c r="AS9" s="20"/>
      <c r="AT9" s="42"/>
      <c r="AU9" s="31"/>
      <c r="AV9" s="31"/>
      <c r="BI9" s="10"/>
      <c r="BR9" s="46"/>
      <c r="BV9" s="14"/>
      <c r="BW9" s="10"/>
      <c r="BX9" s="10"/>
      <c r="BY9" s="24"/>
      <c r="CE9" s="27"/>
      <c r="CF9" s="23"/>
      <c r="CL9" s="23"/>
      <c r="CM9" s="27"/>
      <c r="CN9" s="28"/>
    </row>
    <row r="10" spans="1:92" s="19" customFormat="1" ht="10.199999999999999" x14ac:dyDescent="0.2">
      <c r="G10" s="20"/>
      <c r="H10" s="21"/>
      <c r="L10" s="20"/>
      <c r="M10" s="20"/>
      <c r="N10" s="21"/>
      <c r="O10" s="8"/>
      <c r="Q10" s="38"/>
      <c r="R10" s="39"/>
      <c r="S10" s="39"/>
      <c r="T10" s="10"/>
      <c r="U10" s="10"/>
      <c r="V10" s="10"/>
      <c r="W10" s="10"/>
      <c r="AE10" s="10"/>
      <c r="AK10" s="10"/>
      <c r="AP10" s="10"/>
      <c r="AQ10" s="22"/>
      <c r="AS10" s="20"/>
      <c r="AT10" s="29"/>
      <c r="AU10" s="10"/>
      <c r="AV10" s="10"/>
      <c r="BI10" s="10"/>
      <c r="BR10" s="46"/>
      <c r="BV10" s="14"/>
      <c r="BW10" s="10"/>
      <c r="BX10" s="10"/>
      <c r="BY10" s="24"/>
      <c r="CE10" s="27"/>
      <c r="CF10" s="23"/>
      <c r="CL10" s="23"/>
      <c r="CM10" s="27"/>
      <c r="CN10" s="28"/>
    </row>
    <row r="11" spans="1:92" s="19" customFormat="1" ht="10.199999999999999" x14ac:dyDescent="0.2">
      <c r="G11" s="20"/>
      <c r="H11" s="21"/>
      <c r="L11" s="20"/>
      <c r="M11" s="20"/>
      <c r="N11" s="21"/>
      <c r="O11" s="8"/>
      <c r="Q11" s="38"/>
      <c r="R11" s="39"/>
      <c r="S11" s="39"/>
      <c r="T11" s="10"/>
      <c r="U11" s="10"/>
      <c r="V11" s="10"/>
      <c r="W11" s="10"/>
      <c r="AE11" s="10"/>
      <c r="AK11" s="10"/>
      <c r="AP11" s="23"/>
      <c r="AQ11" s="30"/>
      <c r="AS11" s="20"/>
      <c r="AT11" s="42"/>
      <c r="AU11" s="31"/>
      <c r="AV11" s="31"/>
      <c r="BI11" s="10"/>
      <c r="BR11" s="46"/>
      <c r="BV11" s="14"/>
      <c r="BW11" s="10"/>
      <c r="BX11" s="10"/>
      <c r="BY11" s="24"/>
      <c r="BZ11" s="23"/>
      <c r="CB11" s="14"/>
      <c r="CD11" s="18"/>
      <c r="CE11" s="27"/>
      <c r="CF11" s="23"/>
      <c r="CG11" s="27"/>
      <c r="CH11" s="24"/>
      <c r="CI11" s="28"/>
      <c r="CL11" s="23"/>
      <c r="CM11" s="27"/>
      <c r="CN11" s="28"/>
    </row>
    <row r="12" spans="1:92" s="14" customFormat="1" ht="10.199999999999999" x14ac:dyDescent="0.2">
      <c r="H12" s="32"/>
      <c r="N12" s="32"/>
      <c r="Q12" s="9"/>
      <c r="T12" s="9"/>
      <c r="U12" s="9"/>
      <c r="V12" s="9"/>
      <c r="W12" s="9"/>
      <c r="AE12" s="9"/>
      <c r="AK12" s="9"/>
      <c r="AP12" s="9"/>
      <c r="AQ12" s="30"/>
      <c r="AT12" s="23"/>
      <c r="AU12" s="9"/>
      <c r="AV12" s="9"/>
      <c r="AZ12" s="19"/>
      <c r="BA12" s="19"/>
      <c r="BB12" s="19"/>
      <c r="BC12" s="19"/>
      <c r="BH12" s="19"/>
      <c r="BI12" s="9"/>
      <c r="BJ12" s="9"/>
      <c r="BN12" s="19"/>
      <c r="BU12" s="19"/>
      <c r="BW12" s="9"/>
      <c r="BX12" s="9"/>
    </row>
    <row r="13" spans="1:92" s="14" customFormat="1" ht="10.199999999999999" x14ac:dyDescent="0.2">
      <c r="H13" s="32"/>
      <c r="N13" s="32"/>
      <c r="Q13" s="9"/>
      <c r="T13" s="9"/>
      <c r="U13" s="9"/>
      <c r="V13" s="9"/>
      <c r="W13" s="9"/>
      <c r="AE13" s="9"/>
      <c r="AK13" s="9"/>
      <c r="AN13" s="9"/>
      <c r="AO13" s="9"/>
      <c r="AP13" s="9"/>
      <c r="AQ13" s="30"/>
      <c r="AT13" s="23"/>
      <c r="AU13" s="9"/>
      <c r="AV13" s="9"/>
      <c r="AZ13" s="19"/>
      <c r="BA13" s="19"/>
      <c r="BB13" s="19"/>
      <c r="BC13" s="19"/>
      <c r="BI13" s="9"/>
      <c r="BJ13" s="9"/>
    </row>
    <row r="14" spans="1:92" s="14" customFormat="1" ht="10.199999999999999" x14ac:dyDescent="0.2">
      <c r="H14" s="32"/>
      <c r="N14" s="32"/>
      <c r="Q14" s="9"/>
      <c r="T14" s="9"/>
      <c r="U14" s="9"/>
      <c r="V14" s="9"/>
      <c r="W14" s="9"/>
      <c r="AE14" s="9"/>
      <c r="AK14" s="9"/>
      <c r="AN14" s="9"/>
      <c r="AO14" s="9"/>
      <c r="AP14" s="9"/>
      <c r="AQ14" s="30"/>
      <c r="AR14" s="47"/>
      <c r="AT14" s="23"/>
      <c r="AU14" s="9"/>
      <c r="AV14" s="43"/>
      <c r="AZ14" s="19"/>
      <c r="BA14" s="19"/>
      <c r="BB14" s="19"/>
      <c r="BC14" s="19"/>
      <c r="BH14" s="19"/>
      <c r="BI14" s="9"/>
      <c r="BJ14" s="9"/>
      <c r="BN14" s="19"/>
      <c r="BV14" s="33"/>
    </row>
    <row r="15" spans="1:92" s="14" customFormat="1" x14ac:dyDescent="0.25">
      <c r="H15" s="32"/>
      <c r="N15" s="32"/>
      <c r="Q15" s="9"/>
      <c r="T15" s="9"/>
      <c r="U15" s="9"/>
      <c r="V15" s="9"/>
      <c r="W15" s="9"/>
      <c r="AE15" s="9"/>
      <c r="AK15" s="9"/>
      <c r="AN15" s="9"/>
      <c r="AO15" s="9"/>
      <c r="AP15" s="9"/>
      <c r="AQ15" s="30"/>
      <c r="AR15" s="44"/>
      <c r="AT15" s="23"/>
      <c r="AU15" s="9"/>
      <c r="AV15" s="9"/>
      <c r="AZ15" s="19"/>
      <c r="BA15" s="19"/>
      <c r="BB15" s="19"/>
      <c r="BC15" s="19"/>
      <c r="BH15" s="19"/>
      <c r="BI15" s="9"/>
      <c r="BJ15" s="9"/>
      <c r="BN15" s="19"/>
      <c r="BV15"/>
    </row>
    <row r="16" spans="1:92" s="14" customFormat="1" x14ac:dyDescent="0.25">
      <c r="H16" s="23"/>
      <c r="N16" s="32"/>
      <c r="Q16" s="9"/>
      <c r="T16" s="9"/>
      <c r="U16" s="9"/>
      <c r="V16" s="9"/>
      <c r="W16" s="9"/>
      <c r="AE16" s="9"/>
      <c r="AK16" s="9"/>
      <c r="AN16" s="9"/>
      <c r="AO16" s="9"/>
      <c r="AP16" s="9"/>
      <c r="AQ16" s="30"/>
      <c r="AR16"/>
      <c r="AT16" s="23"/>
      <c r="AU16" s="9"/>
      <c r="AV16" s="9"/>
      <c r="AZ16" s="19"/>
      <c r="BA16" s="19"/>
      <c r="BB16" s="19"/>
      <c r="BC16" s="19"/>
      <c r="BH16" s="19"/>
      <c r="BI16" s="9"/>
      <c r="BJ16" s="9"/>
      <c r="BN16" s="19"/>
      <c r="BV16"/>
    </row>
    <row r="17" spans="7:77" s="14" customFormat="1" x14ac:dyDescent="0.25">
      <c r="H17" s="32"/>
      <c r="N17" s="32"/>
      <c r="Q17" s="9"/>
      <c r="T17" s="9"/>
      <c r="U17" s="9"/>
      <c r="V17" s="9"/>
      <c r="W17" s="9"/>
      <c r="AE17" s="9"/>
      <c r="AK17" s="9"/>
      <c r="AN17" s="9"/>
      <c r="AO17" s="9"/>
      <c r="AP17" s="9"/>
      <c r="AQ17" s="30"/>
      <c r="AT17" s="23"/>
      <c r="AU17" s="9"/>
      <c r="AV17" s="9"/>
      <c r="AZ17" s="19"/>
      <c r="BA17" s="19"/>
      <c r="BB17" s="19"/>
      <c r="BH17" s="19"/>
      <c r="BI17" s="9"/>
      <c r="BJ17" s="9"/>
      <c r="BN17" s="19"/>
      <c r="BV17"/>
    </row>
    <row r="18" spans="7:77" s="14" customFormat="1" x14ac:dyDescent="0.25">
      <c r="H18" s="32"/>
      <c r="N18" s="32"/>
      <c r="Q18" s="9"/>
      <c r="T18" s="9"/>
      <c r="U18" s="9"/>
      <c r="V18" s="9"/>
      <c r="W18" s="9"/>
      <c r="AE18" s="9"/>
      <c r="AK18" s="9"/>
      <c r="AN18" s="9"/>
      <c r="AO18" s="9"/>
      <c r="AP18" s="9"/>
      <c r="AQ18" s="30"/>
      <c r="AT18" s="23"/>
      <c r="AU18" s="9"/>
      <c r="AV18" s="9"/>
      <c r="AZ18" s="19"/>
      <c r="BA18" s="19"/>
      <c r="BB18" s="19"/>
      <c r="BH18" s="19"/>
      <c r="BI18" s="9"/>
      <c r="BJ18" s="9"/>
      <c r="BN18" s="19"/>
      <c r="BV18"/>
    </row>
    <row r="19" spans="7:77" s="33" customFormat="1" x14ac:dyDescent="0.25">
      <c r="G19" s="20"/>
      <c r="H19" s="21"/>
      <c r="L19" s="20"/>
      <c r="M19" s="20"/>
      <c r="N19" s="21"/>
      <c r="Q19" s="34"/>
      <c r="R19" s="20"/>
      <c r="S19" s="20"/>
      <c r="T19" s="10"/>
      <c r="U19" s="10"/>
      <c r="V19" s="10"/>
      <c r="W19" s="10"/>
      <c r="AE19" s="35"/>
      <c r="AK19" s="35"/>
      <c r="AN19" s="35"/>
      <c r="AO19" s="35"/>
      <c r="AP19" s="35"/>
      <c r="AQ19" s="36"/>
      <c r="AS19" s="20"/>
      <c r="AT19" s="37"/>
      <c r="AU19" s="35"/>
      <c r="AV19" s="35"/>
      <c r="AZ19" s="19"/>
      <c r="BA19" s="19"/>
      <c r="BB19" s="19"/>
      <c r="BC19" s="14"/>
      <c r="BH19" s="19"/>
      <c r="BI19" s="35"/>
      <c r="BJ19" s="35"/>
      <c r="BN19" s="19"/>
      <c r="BV19"/>
      <c r="BW19" s="35"/>
      <c r="BX19" s="35"/>
      <c r="BY19" s="24"/>
    </row>
    <row r="20" spans="7:77" x14ac:dyDescent="0.25">
      <c r="AZ20" s="19"/>
      <c r="BA20" s="19"/>
      <c r="BB20" s="19"/>
      <c r="BC20" s="14"/>
      <c r="BH20" s="4"/>
      <c r="BN20" s="4"/>
    </row>
    <row r="21" spans="7:77" x14ac:dyDescent="0.25">
      <c r="AZ21" s="19">
        <v>0.16</v>
      </c>
      <c r="BA21" s="19">
        <v>0.48</v>
      </c>
      <c r="BB21" s="19">
        <v>1.5</v>
      </c>
      <c r="BC21" s="14"/>
      <c r="BH21" s="4"/>
      <c r="BN21" s="4"/>
    </row>
    <row r="22" spans="7:77" x14ac:dyDescent="0.25">
      <c r="AZ22" s="14"/>
      <c r="BA22" s="14"/>
      <c r="BB22" s="19"/>
      <c r="BC22" s="14"/>
      <c r="BH22" s="4"/>
      <c r="BN22" s="4"/>
    </row>
    <row r="23" spans="7:77" x14ac:dyDescent="0.25">
      <c r="AZ23" s="14"/>
      <c r="BA23" s="14"/>
      <c r="BB23" s="14"/>
      <c r="BC23" s="14"/>
      <c r="BH23" s="4"/>
      <c r="BN23" s="4"/>
    </row>
    <row r="24" spans="7:77" x14ac:dyDescent="0.25">
      <c r="AZ24" s="14"/>
      <c r="BA24" s="14"/>
      <c r="BB24" s="14"/>
      <c r="BC24" s="33"/>
      <c r="BH24" s="4"/>
      <c r="BN24" s="4"/>
    </row>
    <row r="25" spans="7:77" x14ac:dyDescent="0.25">
      <c r="AZ25" s="14"/>
      <c r="BA25" s="14"/>
      <c r="BB25" s="14"/>
      <c r="BH25" s="4"/>
      <c r="BN25" s="4"/>
    </row>
    <row r="26" spans="7:77" x14ac:dyDescent="0.25">
      <c r="AZ26" s="14"/>
      <c r="BA26" s="14"/>
      <c r="BB26" s="14"/>
      <c r="BH26" s="4"/>
      <c r="BN26" s="4"/>
    </row>
    <row r="27" spans="7:77" x14ac:dyDescent="0.25">
      <c r="AZ27" s="14"/>
      <c r="BA27" s="14"/>
      <c r="BB27" s="14"/>
      <c r="BH27" s="4"/>
      <c r="BN27" s="4"/>
    </row>
    <row r="28" spans="7:77" x14ac:dyDescent="0.25">
      <c r="AZ28" s="14"/>
      <c r="BA28" s="14"/>
      <c r="BB28" s="14"/>
      <c r="BH28" s="4"/>
      <c r="BN28" s="4"/>
    </row>
    <row r="29" spans="7:77" x14ac:dyDescent="0.25">
      <c r="AZ29" s="33"/>
      <c r="BA29" s="33"/>
      <c r="BB29" s="33">
        <v>-52</v>
      </c>
      <c r="BH29" s="4"/>
      <c r="BN29" s="4"/>
    </row>
  </sheetData>
  <phoneticPr fontId="7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2"/>
  <sheetViews>
    <sheetView workbookViewId="0">
      <selection activeCell="P32" sqref="P32"/>
    </sheetView>
  </sheetViews>
  <sheetFormatPr baseColWidth="10" defaultRowHeight="12.6" x14ac:dyDescent="0.25"/>
  <cols>
    <col min="1" max="1" width="11.66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customWidth="1"/>
    <col min="8" max="8" width="19.88671875" style="5" customWidth="1"/>
    <col min="9" max="9" width="5.109375" customWidth="1"/>
    <col min="10" max="10" width="5.6640625" customWidth="1"/>
    <col min="11" max="11" width="4.6640625" customWidth="1"/>
    <col min="12" max="12" width="21.44140625" customWidth="1"/>
    <col min="13" max="13" width="4.6640625" customWidth="1"/>
    <col min="14" max="14" width="11.6640625" style="5" customWidth="1"/>
    <col min="15" max="15" width="4.6640625" customWidth="1"/>
    <col min="16" max="16" width="11.6640625" customWidth="1"/>
    <col min="17" max="17" width="12.109375" style="1" customWidth="1"/>
    <col min="18" max="18" width="9.109375" customWidth="1"/>
    <col min="19" max="19" width="6.5546875" customWidth="1"/>
    <col min="20" max="20" width="25.6640625" style="1" customWidth="1"/>
    <col min="21" max="21" width="7.44140625" style="1" customWidth="1"/>
    <col min="22" max="22" width="7.33203125" style="1" customWidth="1"/>
    <col min="23" max="23" width="8.44140625" style="1" customWidth="1"/>
    <col min="24" max="24" width="7.88671875" customWidth="1"/>
    <col min="25" max="25" width="9.6640625" customWidth="1"/>
    <col min="26" max="29" width="7.88671875" customWidth="1"/>
    <col min="30" max="30" width="18.6640625" customWidth="1"/>
    <col min="31" max="32" width="8.109375" customWidth="1"/>
    <col min="33" max="33" width="9.33203125" style="1" customWidth="1"/>
    <col min="34" max="36" width="4.6640625" customWidth="1"/>
    <col min="37" max="37" width="3.33203125" customWidth="1"/>
    <col min="38" max="38" width="15.109375" customWidth="1"/>
    <col min="39" max="39" width="20.109375" style="1" customWidth="1"/>
    <col min="40" max="40" width="12.88671875" customWidth="1"/>
    <col min="41" max="41" width="7.88671875" style="6" customWidth="1"/>
    <col min="42" max="42" width="13.6640625" style="1" customWidth="1"/>
    <col min="43" max="43" width="16" style="1" customWidth="1"/>
    <col min="44" max="44" width="12.109375" style="1" customWidth="1"/>
    <col min="45" max="45" width="5.6640625" style="72" customWidth="1"/>
    <col min="46" max="46" width="11.109375" customWidth="1"/>
    <col min="47" max="47" width="5.109375" customWidth="1"/>
    <col min="48" max="48" width="5.44140625" style="3" customWidth="1"/>
    <col min="49" max="49" width="10" style="1" customWidth="1"/>
    <col min="50" max="50" width="5.6640625" style="1" customWidth="1"/>
    <col min="51" max="51" width="7.88671875" customWidth="1"/>
    <col min="52" max="52" width="14.109375" customWidth="1"/>
    <col min="53" max="53" width="4.6640625" customWidth="1"/>
    <col min="54" max="54" width="18.33203125" customWidth="1"/>
    <col min="55" max="55" width="19.44140625" customWidth="1"/>
    <col min="56" max="56" width="7.88671875" customWidth="1"/>
    <col min="57" max="57" width="20.5546875" customWidth="1"/>
    <col min="58" max="58" width="15.33203125" customWidth="1"/>
    <col min="59" max="59" width="11.6640625" customWidth="1"/>
    <col min="60" max="60" width="7.6640625" customWidth="1"/>
    <col min="61" max="61" width="7.88671875" customWidth="1"/>
    <col min="62" max="62" width="5.6640625" customWidth="1"/>
    <col min="63" max="64" width="9.33203125" style="1" customWidth="1"/>
    <col min="65" max="65" width="10" customWidth="1"/>
    <col min="66" max="67" width="10.109375" customWidth="1"/>
    <col min="68" max="68" width="9.6640625" customWidth="1"/>
    <col min="69" max="69" width="5.44140625" customWidth="1"/>
    <col min="70" max="70" width="9.33203125" customWidth="1"/>
    <col min="72" max="72" width="16.6640625" customWidth="1"/>
    <col min="73" max="73" width="18.33203125" customWidth="1"/>
    <col min="74" max="74" width="19.44140625" customWidth="1"/>
    <col min="75" max="75" width="7.88671875" customWidth="1"/>
    <col min="76" max="77" width="20.5546875" customWidth="1"/>
    <col min="78" max="78" width="12.44140625" customWidth="1"/>
    <col min="79" max="79" width="13.6640625" customWidth="1"/>
    <col min="80" max="80" width="8.5546875" customWidth="1"/>
    <col min="81" max="82" width="9.6640625" customWidth="1"/>
    <col min="83" max="83" width="13.88671875" customWidth="1"/>
    <col min="84" max="84" width="11" customWidth="1"/>
    <col min="85" max="85" width="20.109375" customWidth="1"/>
    <col min="86" max="86" width="23.5546875" customWidth="1"/>
    <col min="87" max="87" width="17.44140625" customWidth="1"/>
    <col min="88" max="88" width="14.33203125" customWidth="1"/>
    <col min="89" max="89" width="8" customWidth="1"/>
    <col min="91" max="91" width="13.6640625" customWidth="1"/>
    <col min="92" max="92" width="28.33203125" customWidth="1"/>
    <col min="93" max="93" width="17.44140625" customWidth="1"/>
    <col min="94" max="94" width="12.6640625" customWidth="1"/>
  </cols>
  <sheetData>
    <row r="1" spans="1:94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9" t="s">
        <v>6</v>
      </c>
      <c r="J1" s="9" t="s">
        <v>8</v>
      </c>
      <c r="K1" s="9" t="s">
        <v>3</v>
      </c>
      <c r="L1" s="9" t="s">
        <v>41</v>
      </c>
      <c r="M1" s="9" t="s">
        <v>3</v>
      </c>
      <c r="N1" s="11" t="s">
        <v>9</v>
      </c>
      <c r="O1" s="9" t="s">
        <v>3</v>
      </c>
      <c r="P1" s="9" t="s">
        <v>0</v>
      </c>
      <c r="Q1" s="9" t="s">
        <v>65</v>
      </c>
      <c r="R1" s="9" t="s">
        <v>10</v>
      </c>
      <c r="S1" s="9" t="s">
        <v>11</v>
      </c>
      <c r="T1" s="9" t="s">
        <v>56</v>
      </c>
      <c r="U1" s="9" t="s">
        <v>10</v>
      </c>
      <c r="V1" s="9" t="s">
        <v>11</v>
      </c>
      <c r="W1" s="9" t="s">
        <v>12</v>
      </c>
      <c r="X1" s="10" t="s">
        <v>39</v>
      </c>
      <c r="Y1" s="9" t="s">
        <v>0</v>
      </c>
      <c r="Z1" s="10" t="s">
        <v>46</v>
      </c>
      <c r="AA1" s="10" t="s">
        <v>3</v>
      </c>
      <c r="AB1" s="10" t="s">
        <v>47</v>
      </c>
      <c r="AC1" s="10" t="s">
        <v>3</v>
      </c>
      <c r="AD1" s="12" t="s">
        <v>14</v>
      </c>
      <c r="AE1" s="12" t="s">
        <v>39</v>
      </c>
      <c r="AF1" s="12" t="s">
        <v>3</v>
      </c>
      <c r="AG1" s="9" t="s">
        <v>15</v>
      </c>
      <c r="AH1" s="9" t="s">
        <v>3</v>
      </c>
      <c r="AL1" s="40" t="s">
        <v>16</v>
      </c>
      <c r="AM1" s="9" t="s">
        <v>17</v>
      </c>
      <c r="AN1" s="13" t="s">
        <v>18</v>
      </c>
      <c r="AO1" s="14" t="s">
        <v>19</v>
      </c>
      <c r="AP1" s="13" t="s">
        <v>20</v>
      </c>
      <c r="AQ1" s="13" t="s">
        <v>21</v>
      </c>
      <c r="AR1" s="13" t="s">
        <v>22</v>
      </c>
      <c r="AS1" s="15" t="s">
        <v>8</v>
      </c>
      <c r="AT1" s="9" t="s">
        <v>5</v>
      </c>
      <c r="AU1" s="9" t="s">
        <v>6</v>
      </c>
      <c r="AV1" s="16" t="s">
        <v>23</v>
      </c>
      <c r="AW1" s="17" t="s">
        <v>24</v>
      </c>
      <c r="AX1" s="17"/>
      <c r="AY1" s="10" t="s">
        <v>2</v>
      </c>
      <c r="AZ1" s="9" t="s">
        <v>25</v>
      </c>
      <c r="BA1" s="9" t="s">
        <v>3</v>
      </c>
      <c r="BB1" s="9" t="s">
        <v>26</v>
      </c>
      <c r="BC1" s="9" t="s">
        <v>27</v>
      </c>
      <c r="BD1" s="10" t="s">
        <v>13</v>
      </c>
      <c r="BE1" s="9" t="s">
        <v>28</v>
      </c>
      <c r="BF1" s="9" t="s">
        <v>29</v>
      </c>
      <c r="BG1" s="9" t="s">
        <v>30</v>
      </c>
      <c r="BH1" s="9" t="s">
        <v>31</v>
      </c>
      <c r="BI1" s="10" t="s">
        <v>13</v>
      </c>
      <c r="BJ1" s="10" t="s">
        <v>8</v>
      </c>
      <c r="BK1" s="9" t="s">
        <v>15</v>
      </c>
      <c r="BL1" s="9" t="s">
        <v>3</v>
      </c>
      <c r="BM1" s="9" t="s">
        <v>32</v>
      </c>
      <c r="BN1" s="9" t="s">
        <v>33</v>
      </c>
      <c r="BO1" s="9" t="s">
        <v>34</v>
      </c>
      <c r="BP1" s="10" t="s">
        <v>35</v>
      </c>
      <c r="BT1" s="45" t="s">
        <v>36</v>
      </c>
      <c r="BU1" s="9" t="s">
        <v>26</v>
      </c>
      <c r="BV1" s="9" t="s">
        <v>27</v>
      </c>
      <c r="BW1" s="10" t="s">
        <v>13</v>
      </c>
      <c r="BX1" s="9" t="s">
        <v>28</v>
      </c>
      <c r="CF1" s="18"/>
    </row>
    <row r="2" spans="1:94" s="33" customFormat="1" ht="13.2" x14ac:dyDescent="0.25">
      <c r="A2" s="33" t="s">
        <v>42</v>
      </c>
      <c r="B2" s="33" t="s">
        <v>43</v>
      </c>
      <c r="C2" s="33">
        <v>2</v>
      </c>
      <c r="D2" s="33">
        <v>0.5</v>
      </c>
      <c r="E2" s="33">
        <v>28.3</v>
      </c>
      <c r="F2" s="33">
        <v>13.5</v>
      </c>
      <c r="G2" s="106">
        <v>0.2</v>
      </c>
      <c r="H2" s="107">
        <f t="shared" ref="H2:H9" si="0">-8033*LN(F2/100)</f>
        <v>16085.925860867603</v>
      </c>
      <c r="I2" s="33">
        <v>119</v>
      </c>
      <c r="J2" s="56">
        <f t="shared" ref="J2:J7" si="1">-0.2474*C2+25.432</f>
        <v>24.937199999999997</v>
      </c>
      <c r="K2" s="33">
        <v>1.5</v>
      </c>
      <c r="L2" s="106">
        <f t="shared" ref="L2:L8" si="2">F2/((100-J2)/100)</f>
        <v>17.984940609729453</v>
      </c>
      <c r="M2" s="106">
        <f t="shared" ref="M2:M8" si="3">G2+K2</f>
        <v>1.7</v>
      </c>
      <c r="N2" s="107">
        <f t="shared" ref="N2:N8" si="4">-8033*LN(L2/100)</f>
        <v>13781.699257023081</v>
      </c>
      <c r="O2" s="108">
        <f t="shared" ref="O2:O8" si="5">(8033*LN((L2+M2)/100) - 8033*LN((L2-M2)/100))/2</f>
        <v>761.58107868199113</v>
      </c>
      <c r="P2" s="33" t="s">
        <v>42</v>
      </c>
      <c r="Q2" s="118">
        <f t="shared" ref="Q2:Q8" si="6">(R2+S2)/2</f>
        <v>-14350</v>
      </c>
      <c r="R2" s="85">
        <v>-16400</v>
      </c>
      <c r="S2" s="85">
        <v>-12300</v>
      </c>
      <c r="T2" s="33">
        <f t="shared" ref="T2:T8" si="7">2000-Q2</f>
        <v>16350</v>
      </c>
      <c r="U2" s="33">
        <f t="shared" ref="U2:V8" si="8">(2000-R2)</f>
        <v>18400</v>
      </c>
      <c r="V2" s="33">
        <f t="shared" si="8"/>
        <v>14300</v>
      </c>
      <c r="W2" s="33">
        <f t="shared" ref="W2:W8" si="9">ABS(U2-V2)/2</f>
        <v>2050</v>
      </c>
      <c r="X2" s="33">
        <f>C2</f>
        <v>2</v>
      </c>
      <c r="Y2" s="33" t="str">
        <f t="shared" ref="Y2:Y9" si="10">A2</f>
        <v>Chau3-14C-A</v>
      </c>
      <c r="Z2" s="33">
        <v>-6.04</v>
      </c>
      <c r="AA2" s="33">
        <v>0.1</v>
      </c>
      <c r="AB2" s="33">
        <v>-5.71</v>
      </c>
      <c r="AC2" s="33">
        <v>0.1</v>
      </c>
      <c r="AD2" s="119" t="s">
        <v>57</v>
      </c>
      <c r="AE2" s="119"/>
      <c r="AF2" s="119"/>
      <c r="AG2" s="120">
        <v>14700</v>
      </c>
      <c r="AH2" s="120">
        <v>80</v>
      </c>
      <c r="AI2" s="79"/>
      <c r="AJ2" s="79"/>
      <c r="AK2" s="79"/>
      <c r="AL2" s="121" t="s">
        <v>38</v>
      </c>
      <c r="AM2" s="79">
        <f>2000-AG2</f>
        <v>-12700</v>
      </c>
      <c r="AN2" s="111">
        <v>232.6</v>
      </c>
      <c r="AO2" s="111">
        <v>37.9</v>
      </c>
      <c r="AP2" s="79">
        <f>(AN2)/10+100</f>
        <v>123.25999999999999</v>
      </c>
      <c r="AQ2" s="79">
        <f>AO2/10</f>
        <v>3.79</v>
      </c>
      <c r="AR2" s="80">
        <f>F2/EXP(-(LN(2)/5730)*(AG2))</f>
        <v>79.911571911872045</v>
      </c>
      <c r="AS2" s="122"/>
      <c r="AT2" s="79">
        <f>F2</f>
        <v>13.5</v>
      </c>
      <c r="AU2" s="112">
        <f>G2</f>
        <v>0.2</v>
      </c>
      <c r="AV2" s="83">
        <f>AR2*(AU2/AT2+AH2/AG2)</f>
        <v>1.6187680477990709</v>
      </c>
      <c r="AW2" s="123">
        <f>AV2+AQ2</f>
        <v>5.4087680477990707</v>
      </c>
      <c r="AX2" s="79"/>
      <c r="AY2" s="79">
        <v>13</v>
      </c>
      <c r="AZ2" s="79"/>
      <c r="BD2" s="33">
        <v>108.7</v>
      </c>
      <c r="BF2" s="33">
        <v>0</v>
      </c>
      <c r="BG2" s="33">
        <v>1990</v>
      </c>
      <c r="BH2" s="33" t="s">
        <v>37</v>
      </c>
      <c r="BI2" s="33">
        <v>108.7</v>
      </c>
      <c r="BJ2" s="33">
        <v>0</v>
      </c>
      <c r="BK2" s="118">
        <v>2</v>
      </c>
      <c r="BL2" s="118">
        <v>2</v>
      </c>
      <c r="BM2" s="33">
        <v>-8.8699999999999992</v>
      </c>
      <c r="BN2" s="33">
        <v>-4.76</v>
      </c>
      <c r="BO2" s="33">
        <v>0.1</v>
      </c>
      <c r="BP2" s="33">
        <f>5730/LN(2)*LN((100-BJ2)/100)</f>
        <v>0</v>
      </c>
      <c r="BT2" s="113"/>
      <c r="BW2" s="33">
        <v>108.7</v>
      </c>
      <c r="CA2" s="114"/>
      <c r="CB2" s="69"/>
      <c r="CC2" s="115"/>
      <c r="CD2" s="116"/>
      <c r="CE2" s="26"/>
      <c r="CF2" s="115"/>
      <c r="CG2" s="117"/>
      <c r="CH2" s="69"/>
      <c r="CI2" s="117"/>
      <c r="CJ2" s="117"/>
      <c r="CK2" s="124"/>
      <c r="CN2" s="69"/>
      <c r="CO2" s="117"/>
      <c r="CP2" s="124"/>
    </row>
    <row r="3" spans="1:94" s="19" customFormat="1" ht="13.2" x14ac:dyDescent="0.25">
      <c r="A3" s="19" t="s">
        <v>53</v>
      </c>
      <c r="B3" s="19" t="s">
        <v>54</v>
      </c>
      <c r="C3" s="19">
        <v>13</v>
      </c>
      <c r="D3" s="19">
        <v>0.5</v>
      </c>
      <c r="E3" s="19">
        <v>17.100000000000001</v>
      </c>
      <c r="F3" s="19">
        <v>16.170000000000002</v>
      </c>
      <c r="G3" s="20">
        <v>0.24</v>
      </c>
      <c r="H3" s="21">
        <f t="shared" si="0"/>
        <v>14636.226512101775</v>
      </c>
      <c r="I3" s="19">
        <v>118</v>
      </c>
      <c r="J3" s="41">
        <f t="shared" si="1"/>
        <v>22.215799999999998</v>
      </c>
      <c r="K3" s="19">
        <v>1.5</v>
      </c>
      <c r="L3" s="20">
        <f t="shared" si="2"/>
        <v>20.788283481735366</v>
      </c>
      <c r="M3" s="20">
        <f t="shared" si="3"/>
        <v>1.74</v>
      </c>
      <c r="N3" s="21">
        <f t="shared" si="4"/>
        <v>12618.080978623819</v>
      </c>
      <c r="O3" s="8">
        <f t="shared" si="5"/>
        <v>673.94689786733761</v>
      </c>
      <c r="P3" s="19" t="s">
        <v>53</v>
      </c>
      <c r="Q3" s="38">
        <f t="shared" si="6"/>
        <v>-13000</v>
      </c>
      <c r="R3" s="85">
        <v>-14800</v>
      </c>
      <c r="S3" s="85">
        <v>-11200</v>
      </c>
      <c r="T3" s="10">
        <f t="shared" si="7"/>
        <v>15000</v>
      </c>
      <c r="U3" s="10">
        <f t="shared" si="8"/>
        <v>16800</v>
      </c>
      <c r="V3" s="10">
        <f t="shared" si="8"/>
        <v>13200</v>
      </c>
      <c r="W3" s="10">
        <f t="shared" si="9"/>
        <v>1800</v>
      </c>
      <c r="X3" s="19">
        <f t="shared" ref="X3:X8" si="11">C3</f>
        <v>13</v>
      </c>
      <c r="Y3" s="19" t="str">
        <f t="shared" si="10"/>
        <v>Chau3-14C-E</v>
      </c>
      <c r="Z3" s="19">
        <v>-7.69</v>
      </c>
      <c r="AA3" s="19">
        <v>0.1</v>
      </c>
      <c r="AB3" s="19">
        <v>-5.58</v>
      </c>
      <c r="AC3" s="19">
        <v>0.1</v>
      </c>
      <c r="AD3" s="68" t="s">
        <v>57</v>
      </c>
      <c r="AE3" s="68">
        <v>13</v>
      </c>
      <c r="AF3" s="68">
        <v>6</v>
      </c>
      <c r="AG3" s="109">
        <v>14695</v>
      </c>
      <c r="AH3" s="109">
        <v>80</v>
      </c>
      <c r="AL3" s="41" t="s">
        <v>38</v>
      </c>
      <c r="AM3" s="35">
        <f>2000-AG3</f>
        <v>-12695</v>
      </c>
      <c r="AN3" s="4">
        <v>229.8</v>
      </c>
      <c r="AO3" s="4">
        <v>36.299999999999997</v>
      </c>
      <c r="AP3" s="33">
        <f>(AN3)/10+100</f>
        <v>122.98</v>
      </c>
      <c r="AQ3" s="33">
        <f>AO3/10</f>
        <v>3.63</v>
      </c>
      <c r="AR3" s="69">
        <f>F3/EXP(-(LN(2)/5730)*(AG3))</f>
        <v>95.65842943276634</v>
      </c>
      <c r="AS3" s="51">
        <f>(1-(AR3/AP3))*100</f>
        <v>22.216271399604537</v>
      </c>
      <c r="AT3" s="19">
        <f>F3</f>
        <v>16.170000000000002</v>
      </c>
      <c r="AU3" s="20">
        <f>G3</f>
        <v>0.24</v>
      </c>
      <c r="AV3" s="70">
        <f>AR3*(AU3/AT3+AH3/AG3)</f>
        <v>1.9405583842720215</v>
      </c>
      <c r="AW3" s="71">
        <f>AV3+AQ3</f>
        <v>5.5705583842720214</v>
      </c>
      <c r="AX3" s="10"/>
      <c r="AY3" s="19">
        <v>13</v>
      </c>
      <c r="BK3" s="10"/>
      <c r="BT3" s="46"/>
      <c r="BY3" s="10"/>
      <c r="BZ3" s="10"/>
      <c r="CA3" s="24"/>
      <c r="CB3" s="23"/>
      <c r="CD3" s="14"/>
      <c r="CF3" s="18"/>
      <c r="CG3" s="27"/>
      <c r="CH3" s="23"/>
      <c r="CI3" s="27"/>
      <c r="CJ3" s="24"/>
      <c r="CK3" s="28"/>
      <c r="CN3" s="23"/>
      <c r="CO3" s="27"/>
      <c r="CP3" s="28"/>
    </row>
    <row r="4" spans="1:94" s="86" customFormat="1" ht="13.2" x14ac:dyDescent="0.25">
      <c r="A4" s="86" t="s">
        <v>59</v>
      </c>
      <c r="B4" s="86" t="s">
        <v>60</v>
      </c>
      <c r="C4" s="86">
        <v>53</v>
      </c>
      <c r="D4" s="86">
        <v>0.5</v>
      </c>
      <c r="F4" s="86">
        <v>19.91</v>
      </c>
      <c r="G4" s="87">
        <v>0.49</v>
      </c>
      <c r="H4" s="88">
        <f t="shared" si="0"/>
        <v>12964.844829536987</v>
      </c>
      <c r="J4" s="73">
        <f t="shared" si="1"/>
        <v>12.319799999999999</v>
      </c>
      <c r="K4" s="94">
        <v>1.5</v>
      </c>
      <c r="L4" s="106">
        <f t="shared" si="2"/>
        <v>22.707521196347638</v>
      </c>
      <c r="M4" s="106">
        <f t="shared" si="3"/>
        <v>1.99</v>
      </c>
      <c r="N4" s="107">
        <f t="shared" si="4"/>
        <v>11908.713530685889</v>
      </c>
      <c r="O4" s="108">
        <f t="shared" si="5"/>
        <v>705.79185252172738</v>
      </c>
      <c r="P4" s="86" t="s">
        <v>59</v>
      </c>
      <c r="Q4" s="38">
        <f t="shared" si="6"/>
        <v>-12350</v>
      </c>
      <c r="R4" s="89">
        <v>-14400</v>
      </c>
      <c r="S4" s="89">
        <v>-10300</v>
      </c>
      <c r="T4" s="10">
        <f t="shared" si="7"/>
        <v>14350</v>
      </c>
      <c r="U4" s="10">
        <f>(2000-R4)</f>
        <v>16400</v>
      </c>
      <c r="V4" s="10">
        <f>(2000-S4)</f>
        <v>12300</v>
      </c>
      <c r="W4" s="10">
        <f t="shared" si="9"/>
        <v>2050</v>
      </c>
      <c r="X4" s="19">
        <f t="shared" si="11"/>
        <v>53</v>
      </c>
      <c r="Y4" s="19" t="str">
        <f t="shared" si="10"/>
        <v>Chau3-14C-F</v>
      </c>
      <c r="Z4" s="86">
        <v>-7.39</v>
      </c>
      <c r="AA4" s="86">
        <v>0.1</v>
      </c>
      <c r="AB4" s="86">
        <v>-5.47</v>
      </c>
      <c r="AC4" s="86">
        <v>0.1</v>
      </c>
      <c r="AD4" s="68"/>
      <c r="AE4" s="68"/>
      <c r="AF4" s="68"/>
      <c r="AG4" s="10"/>
      <c r="AH4" s="19"/>
      <c r="AI4" s="19"/>
      <c r="AJ4" s="19"/>
      <c r="AK4" s="19"/>
      <c r="AL4" s="19"/>
      <c r="AN4" s="19"/>
      <c r="AO4" s="19"/>
      <c r="AP4" s="33"/>
      <c r="AQ4" s="33"/>
      <c r="AR4" s="69"/>
      <c r="AS4" s="51"/>
      <c r="AT4" s="19"/>
      <c r="AU4" s="20"/>
      <c r="AV4" s="70"/>
      <c r="AW4" s="71"/>
      <c r="AX4" s="90"/>
      <c r="BK4" s="90"/>
      <c r="BT4" s="99"/>
      <c r="BY4" s="90"/>
      <c r="BZ4" s="90"/>
      <c r="CA4" s="100"/>
      <c r="CB4" s="101"/>
      <c r="CD4" s="102"/>
      <c r="CF4" s="103"/>
      <c r="CG4" s="104"/>
      <c r="CH4" s="101"/>
      <c r="CI4" s="104"/>
      <c r="CJ4" s="100"/>
      <c r="CK4" s="105"/>
      <c r="CN4" s="101"/>
      <c r="CO4" s="104"/>
      <c r="CP4" s="105"/>
    </row>
    <row r="5" spans="1:94" s="86" customFormat="1" ht="13.2" x14ac:dyDescent="0.25">
      <c r="A5" s="86" t="s">
        <v>61</v>
      </c>
      <c r="B5" s="86" t="s">
        <v>62</v>
      </c>
      <c r="C5" s="86">
        <v>56</v>
      </c>
      <c r="D5" s="86">
        <v>0.5</v>
      </c>
      <c r="F5" s="86">
        <v>17.690000000000001</v>
      </c>
      <c r="G5" s="87">
        <v>0.37</v>
      </c>
      <c r="H5" s="88">
        <f t="shared" si="0"/>
        <v>13914.527054899121</v>
      </c>
      <c r="J5" s="73">
        <f t="shared" si="1"/>
        <v>11.577599999999999</v>
      </c>
      <c r="K5" s="94">
        <v>1.5</v>
      </c>
      <c r="L5" s="106">
        <f t="shared" si="2"/>
        <v>20.006242762015056</v>
      </c>
      <c r="M5" s="106">
        <f t="shared" si="3"/>
        <v>1.87</v>
      </c>
      <c r="N5" s="107">
        <f t="shared" si="4"/>
        <v>12926.107736466742</v>
      </c>
      <c r="O5" s="108">
        <f t="shared" si="5"/>
        <v>753.04934297144246</v>
      </c>
      <c r="P5" s="86" t="s">
        <v>61</v>
      </c>
      <c r="Q5" s="38">
        <f t="shared" si="6"/>
        <v>-13400</v>
      </c>
      <c r="R5" s="89">
        <v>-15400</v>
      </c>
      <c r="S5" s="89">
        <v>-11400</v>
      </c>
      <c r="T5" s="10">
        <f t="shared" si="7"/>
        <v>15400</v>
      </c>
      <c r="U5" s="10">
        <f>(2000-R5)</f>
        <v>17400</v>
      </c>
      <c r="V5" s="10">
        <f>(2000-S5)</f>
        <v>13400</v>
      </c>
      <c r="W5" s="10">
        <f t="shared" si="9"/>
        <v>2000</v>
      </c>
      <c r="X5" s="19">
        <f t="shared" si="11"/>
        <v>56</v>
      </c>
      <c r="Y5" s="19" t="str">
        <f t="shared" si="10"/>
        <v>Chau3-14C-G</v>
      </c>
      <c r="Z5" s="86">
        <v>-8.1199999999999992</v>
      </c>
      <c r="AA5" s="86">
        <v>0.1</v>
      </c>
      <c r="AB5" s="86">
        <v>-5.53</v>
      </c>
      <c r="AC5" s="86">
        <v>0.1</v>
      </c>
      <c r="AD5" s="91"/>
      <c r="AE5" s="91"/>
      <c r="AF5" s="91"/>
      <c r="AG5" s="91"/>
      <c r="AH5" s="91"/>
      <c r="AL5" s="92"/>
      <c r="AM5" s="93"/>
      <c r="AN5" s="110"/>
      <c r="AO5" s="110"/>
      <c r="AP5" s="94"/>
      <c r="AQ5" s="94"/>
      <c r="AR5" s="95"/>
      <c r="AS5" s="96"/>
      <c r="AU5" s="87"/>
      <c r="AV5" s="97"/>
      <c r="AW5" s="98"/>
      <c r="AX5" s="90"/>
      <c r="BK5" s="90"/>
      <c r="BT5" s="99"/>
      <c r="BY5" s="90"/>
      <c r="BZ5" s="90"/>
      <c r="CA5" s="100"/>
      <c r="CB5" s="101"/>
      <c r="CD5" s="102"/>
      <c r="CF5" s="103"/>
      <c r="CG5" s="104"/>
      <c r="CH5" s="101"/>
      <c r="CI5" s="104"/>
      <c r="CJ5" s="100"/>
      <c r="CK5" s="105"/>
      <c r="CN5" s="101"/>
      <c r="CO5" s="104"/>
      <c r="CP5" s="105"/>
    </row>
    <row r="6" spans="1:94" s="19" customFormat="1" ht="10.95" customHeight="1" x14ac:dyDescent="0.25">
      <c r="A6" s="19" t="s">
        <v>51</v>
      </c>
      <c r="B6" s="19" t="s">
        <v>52</v>
      </c>
      <c r="C6" s="19">
        <v>69</v>
      </c>
      <c r="D6" s="19">
        <v>0.5</v>
      </c>
      <c r="E6" s="19">
        <v>18.21</v>
      </c>
      <c r="F6" s="19">
        <v>17.72</v>
      </c>
      <c r="G6" s="20">
        <v>0.24</v>
      </c>
      <c r="H6" s="21">
        <f t="shared" si="0"/>
        <v>13900.915642436021</v>
      </c>
      <c r="I6" s="19">
        <v>110</v>
      </c>
      <c r="J6" s="41">
        <f t="shared" si="1"/>
        <v>8.3613999999999997</v>
      </c>
      <c r="K6" s="19">
        <v>1.5</v>
      </c>
      <c r="L6" s="20">
        <f t="shared" si="2"/>
        <v>19.336829676577338</v>
      </c>
      <c r="M6" s="20">
        <f t="shared" si="3"/>
        <v>1.74</v>
      </c>
      <c r="N6" s="21">
        <f t="shared" si="4"/>
        <v>13199.493315919939</v>
      </c>
      <c r="O6" s="8">
        <f t="shared" si="5"/>
        <v>724.79977163203421</v>
      </c>
      <c r="P6" s="19" t="s">
        <v>51</v>
      </c>
      <c r="Q6" s="38">
        <f t="shared" si="6"/>
        <v>-13750</v>
      </c>
      <c r="R6" s="85">
        <v>-15700</v>
      </c>
      <c r="S6" s="85">
        <v>-11800</v>
      </c>
      <c r="T6" s="10">
        <f t="shared" si="7"/>
        <v>15750</v>
      </c>
      <c r="U6" s="10">
        <f t="shared" si="8"/>
        <v>17700</v>
      </c>
      <c r="V6" s="10">
        <f t="shared" si="8"/>
        <v>13800</v>
      </c>
      <c r="W6" s="10">
        <f t="shared" si="9"/>
        <v>1950</v>
      </c>
      <c r="X6" s="19">
        <f t="shared" si="11"/>
        <v>69</v>
      </c>
      <c r="Y6" s="19" t="str">
        <f t="shared" si="10"/>
        <v>Chau3-14C-C</v>
      </c>
      <c r="Z6" s="19">
        <v>-7.96</v>
      </c>
      <c r="AA6" s="19">
        <v>0.1</v>
      </c>
      <c r="AB6" s="19">
        <v>-5.27</v>
      </c>
      <c r="AC6" s="19">
        <v>0.1</v>
      </c>
      <c r="AD6" s="68" t="s">
        <v>58</v>
      </c>
      <c r="AE6" s="68">
        <v>66</v>
      </c>
      <c r="AF6" s="68">
        <v>3</v>
      </c>
      <c r="AG6" s="10">
        <v>14290</v>
      </c>
      <c r="AH6" s="19">
        <v>94</v>
      </c>
      <c r="AM6" s="35">
        <f>2000-AG6</f>
        <v>-12290</v>
      </c>
      <c r="AN6" s="19">
        <v>219</v>
      </c>
      <c r="AO6" s="19">
        <v>27</v>
      </c>
      <c r="AP6" s="33">
        <f>(AN6)/10+100</f>
        <v>121.9</v>
      </c>
      <c r="AQ6" s="33">
        <f>AO6/10</f>
        <v>2.7</v>
      </c>
      <c r="AR6" s="69">
        <f>F8/EXP(-(LN(2)/5730)*(AG6))</f>
        <v>110.80021342159196</v>
      </c>
      <c r="AS6" s="51">
        <f>(1-(AR6/AP6))*100</f>
        <v>9.1056493670287448</v>
      </c>
      <c r="AT6" s="19">
        <f>F8</f>
        <v>19.670000000000002</v>
      </c>
      <c r="AU6" s="20">
        <f>G8</f>
        <v>0.32</v>
      </c>
      <c r="AV6" s="70">
        <f>AR6*(AU6/AT6+AH6/AG6)</f>
        <v>2.5313921643667427</v>
      </c>
      <c r="AW6" s="71">
        <f>AV6+AQ6</f>
        <v>5.2313921643667429</v>
      </c>
      <c r="AX6" s="10"/>
      <c r="BK6" s="38"/>
      <c r="BL6" s="38"/>
      <c r="BT6" s="46"/>
      <c r="BY6" s="10"/>
      <c r="BZ6" s="10"/>
      <c r="CA6" s="24"/>
      <c r="CG6" s="27"/>
      <c r="CH6" s="23"/>
      <c r="CI6" s="27"/>
      <c r="CJ6" s="24"/>
      <c r="CK6" s="28"/>
      <c r="CN6" s="23"/>
      <c r="CO6" s="27"/>
      <c r="CP6" s="28"/>
    </row>
    <row r="7" spans="1:94" s="19" customFormat="1" ht="10.95" customHeight="1" x14ac:dyDescent="0.25">
      <c r="A7" s="86" t="s">
        <v>63</v>
      </c>
      <c r="B7" s="86" t="s">
        <v>64</v>
      </c>
      <c r="C7" s="86">
        <v>74</v>
      </c>
      <c r="D7" s="86">
        <v>0.5</v>
      </c>
      <c r="E7" s="86"/>
      <c r="F7" s="86">
        <v>18.97</v>
      </c>
      <c r="G7" s="87">
        <v>0.27</v>
      </c>
      <c r="H7" s="88">
        <f t="shared" si="0"/>
        <v>13353.347492596708</v>
      </c>
      <c r="I7" s="86"/>
      <c r="J7" s="73">
        <f t="shared" si="1"/>
        <v>7.1243999999999978</v>
      </c>
      <c r="K7" s="94">
        <v>1.5</v>
      </c>
      <c r="L7" s="106">
        <f t="shared" si="2"/>
        <v>20.425170873727865</v>
      </c>
      <c r="M7" s="106">
        <f t="shared" si="3"/>
        <v>1.77</v>
      </c>
      <c r="N7" s="107">
        <f t="shared" si="4"/>
        <v>12759.634706848923</v>
      </c>
      <c r="O7" s="108">
        <f t="shared" si="5"/>
        <v>697.8723804141764</v>
      </c>
      <c r="P7" s="86" t="s">
        <v>63</v>
      </c>
      <c r="Q7" s="38">
        <f t="shared" si="6"/>
        <v>-13250</v>
      </c>
      <c r="R7" s="85">
        <v>-15100</v>
      </c>
      <c r="S7" s="85">
        <v>-11400</v>
      </c>
      <c r="T7" s="10">
        <f t="shared" si="7"/>
        <v>15250</v>
      </c>
      <c r="U7" s="10">
        <f>(2000-R7)</f>
        <v>17100</v>
      </c>
      <c r="V7" s="10">
        <f>(2000-S7)</f>
        <v>13400</v>
      </c>
      <c r="W7" s="10">
        <f t="shared" si="9"/>
        <v>1850</v>
      </c>
      <c r="X7" s="19">
        <f t="shared" si="11"/>
        <v>74</v>
      </c>
      <c r="Y7" s="19" t="str">
        <f t="shared" si="10"/>
        <v>Chau3-14C-H</v>
      </c>
      <c r="Z7" s="19">
        <v>-7.81</v>
      </c>
      <c r="AA7" s="19">
        <v>0.1</v>
      </c>
      <c r="AB7" s="19">
        <v>-5.31</v>
      </c>
      <c r="AC7" s="19">
        <v>0.1</v>
      </c>
      <c r="AD7" s="68"/>
      <c r="AE7" s="68"/>
      <c r="AF7" s="68"/>
      <c r="AG7" s="10"/>
      <c r="AM7" s="35"/>
      <c r="AP7" s="33"/>
      <c r="AQ7" s="33"/>
      <c r="AR7" s="69"/>
      <c r="AS7" s="51"/>
      <c r="AU7" s="20"/>
      <c r="AV7" s="70"/>
      <c r="AW7" s="71"/>
      <c r="AX7" s="10"/>
      <c r="BK7" s="38"/>
      <c r="BL7" s="38"/>
      <c r="BT7" s="46"/>
      <c r="BY7" s="10"/>
      <c r="BZ7" s="10"/>
      <c r="CA7" s="24"/>
      <c r="CG7" s="27"/>
      <c r="CH7" s="23"/>
      <c r="CI7" s="27"/>
      <c r="CJ7" s="24"/>
      <c r="CK7" s="28"/>
      <c r="CN7" s="23"/>
      <c r="CO7" s="27"/>
      <c r="CP7" s="28"/>
    </row>
    <row r="8" spans="1:94" s="19" customFormat="1" ht="10.199999999999999" x14ac:dyDescent="0.2">
      <c r="A8" s="19" t="s">
        <v>44</v>
      </c>
      <c r="B8" s="19" t="s">
        <v>45</v>
      </c>
      <c r="C8" s="19">
        <v>140</v>
      </c>
      <c r="D8" s="19">
        <v>0.5</v>
      </c>
      <c r="E8" s="19">
        <v>27.6</v>
      </c>
      <c r="F8" s="19">
        <v>19.670000000000002</v>
      </c>
      <c r="G8" s="20">
        <v>0.32</v>
      </c>
      <c r="H8" s="21">
        <f t="shared" si="0"/>
        <v>13062.264921965365</v>
      </c>
      <c r="I8" s="19">
        <v>130</v>
      </c>
      <c r="J8" s="73">
        <v>0</v>
      </c>
      <c r="K8" s="19">
        <v>1.5</v>
      </c>
      <c r="L8" s="20">
        <f t="shared" si="2"/>
        <v>19.670000000000002</v>
      </c>
      <c r="M8" s="20">
        <f t="shared" si="3"/>
        <v>1.82</v>
      </c>
      <c r="N8" s="21">
        <f t="shared" si="4"/>
        <v>13062.264921965365</v>
      </c>
      <c r="O8" s="8">
        <f t="shared" si="5"/>
        <v>745.39894905515848</v>
      </c>
      <c r="P8" s="19" t="s">
        <v>44</v>
      </c>
      <c r="Q8" s="38">
        <f t="shared" si="6"/>
        <v>-13500</v>
      </c>
      <c r="R8" s="85">
        <v>-15500</v>
      </c>
      <c r="S8" s="85">
        <v>-11500</v>
      </c>
      <c r="T8" s="10">
        <f t="shared" si="7"/>
        <v>15500</v>
      </c>
      <c r="U8" s="10">
        <f t="shared" si="8"/>
        <v>17500</v>
      </c>
      <c r="V8" s="10">
        <f t="shared" si="8"/>
        <v>13500</v>
      </c>
      <c r="W8" s="10">
        <f t="shared" si="9"/>
        <v>2000</v>
      </c>
      <c r="X8" s="19">
        <f t="shared" si="11"/>
        <v>140</v>
      </c>
      <c r="Y8" s="19" t="str">
        <f t="shared" si="10"/>
        <v>Chau3-14C-B</v>
      </c>
      <c r="Z8" s="19">
        <v>-10.4</v>
      </c>
      <c r="AA8" s="19">
        <v>0.1</v>
      </c>
      <c r="AB8" s="19">
        <v>-9.1999999999999993</v>
      </c>
      <c r="AC8" s="19">
        <v>0.1</v>
      </c>
      <c r="AG8" s="48"/>
      <c r="AM8" s="10"/>
      <c r="AN8" s="49"/>
      <c r="AO8" s="49"/>
      <c r="AQ8" s="49"/>
      <c r="AR8" s="50"/>
      <c r="AS8" s="51"/>
      <c r="AT8" s="52"/>
      <c r="AU8" s="53"/>
      <c r="AV8" s="54"/>
      <c r="AW8" s="55"/>
      <c r="AX8" s="10"/>
      <c r="BK8" s="38"/>
      <c r="BL8" s="38"/>
      <c r="BT8" s="46"/>
      <c r="BY8" s="10"/>
      <c r="BZ8" s="10"/>
      <c r="CA8" s="24"/>
      <c r="CE8" s="26"/>
      <c r="CF8" s="26"/>
      <c r="CG8" s="27"/>
      <c r="CH8" s="23"/>
      <c r="CI8" s="27"/>
      <c r="CJ8" s="24"/>
      <c r="CK8" s="28"/>
      <c r="CN8" s="23"/>
      <c r="CO8" s="27"/>
      <c r="CP8" s="28"/>
    </row>
    <row r="9" spans="1:94" s="52" customFormat="1" ht="10.199999999999999" x14ac:dyDescent="0.2">
      <c r="A9" s="52" t="s">
        <v>48</v>
      </c>
      <c r="B9" s="52" t="s">
        <v>49</v>
      </c>
      <c r="C9" s="52">
        <v>-1</v>
      </c>
      <c r="F9" s="52">
        <v>6.61</v>
      </c>
      <c r="G9" s="53">
        <v>0.17</v>
      </c>
      <c r="H9" s="57">
        <f t="shared" si="0"/>
        <v>21822.339612556079</v>
      </c>
      <c r="I9" s="52">
        <v>130</v>
      </c>
      <c r="J9" s="49" t="s">
        <v>50</v>
      </c>
      <c r="L9" s="52" t="s">
        <v>50</v>
      </c>
      <c r="M9" s="53"/>
      <c r="N9" s="57">
        <f>H9</f>
        <v>21822.339612556079</v>
      </c>
      <c r="O9" s="58">
        <f>I9</f>
        <v>130</v>
      </c>
      <c r="P9" s="52" t="s">
        <v>48</v>
      </c>
      <c r="Q9" s="59">
        <v>26000</v>
      </c>
      <c r="R9" s="60"/>
      <c r="S9" s="60"/>
      <c r="T9" s="61"/>
      <c r="U9" s="61"/>
      <c r="V9" s="61"/>
      <c r="W9" s="61"/>
      <c r="X9" s="19">
        <f>C9</f>
        <v>-1</v>
      </c>
      <c r="Y9" s="19" t="str">
        <f t="shared" si="10"/>
        <v>Chau3-Ch</v>
      </c>
      <c r="AG9" s="61"/>
      <c r="AM9" s="61"/>
      <c r="AR9" s="62"/>
      <c r="AS9" s="63"/>
      <c r="AU9" s="53"/>
      <c r="AV9" s="54"/>
      <c r="AW9" s="55"/>
      <c r="AX9" s="55"/>
      <c r="BK9" s="61"/>
      <c r="BT9" s="64"/>
      <c r="BY9" s="61"/>
      <c r="BZ9" s="61"/>
      <c r="CA9" s="65"/>
      <c r="CG9" s="66"/>
      <c r="CH9" s="62"/>
      <c r="CI9" s="66"/>
      <c r="CJ9" s="65"/>
      <c r="CK9" s="67"/>
      <c r="CN9" s="62"/>
      <c r="CO9" s="66"/>
      <c r="CP9" s="67"/>
    </row>
    <row r="10" spans="1:94" s="19" customFormat="1" ht="10.199999999999999" x14ac:dyDescent="0.2">
      <c r="G10" s="20"/>
      <c r="H10" s="21"/>
      <c r="L10" s="20"/>
      <c r="M10" s="20"/>
      <c r="N10" s="21"/>
      <c r="O10" s="8"/>
      <c r="Q10" s="38"/>
      <c r="R10" s="39"/>
      <c r="S10" s="39"/>
      <c r="T10" s="10"/>
      <c r="U10" s="10"/>
      <c r="V10" s="10"/>
      <c r="W10" s="10"/>
      <c r="AG10" s="10"/>
      <c r="AM10" s="10"/>
      <c r="AR10" s="23"/>
      <c r="AS10" s="30"/>
      <c r="AU10" s="20"/>
      <c r="AV10" s="42"/>
      <c r="AW10" s="31"/>
      <c r="AX10" s="31"/>
      <c r="BK10" s="10"/>
      <c r="BT10" s="46"/>
      <c r="BY10" s="10"/>
      <c r="BZ10" s="10"/>
      <c r="CA10" s="24"/>
      <c r="CB10" s="23"/>
      <c r="CD10" s="14"/>
      <c r="CF10" s="18"/>
      <c r="CG10" s="27"/>
      <c r="CH10" s="23"/>
      <c r="CI10" s="27"/>
      <c r="CJ10" s="24"/>
      <c r="CK10" s="28"/>
      <c r="CN10" s="23"/>
      <c r="CO10" s="27"/>
      <c r="CP10" s="28"/>
    </row>
    <row r="11" spans="1:94" s="19" customFormat="1" ht="10.199999999999999" x14ac:dyDescent="0.2">
      <c r="G11" s="20"/>
      <c r="H11" s="21"/>
      <c r="L11" s="20"/>
      <c r="M11" s="20"/>
      <c r="N11" s="21"/>
      <c r="O11" s="8"/>
      <c r="Q11" s="38"/>
      <c r="R11" s="39"/>
      <c r="S11" s="39"/>
      <c r="T11" s="10"/>
      <c r="U11" s="10"/>
      <c r="V11" s="10"/>
      <c r="W11" s="10"/>
      <c r="AG11" s="10"/>
      <c r="AM11" s="10"/>
      <c r="AR11" s="10"/>
      <c r="AS11" s="22"/>
      <c r="AU11" s="20"/>
      <c r="AV11" s="29"/>
      <c r="AW11" s="10"/>
      <c r="AX11" s="10"/>
      <c r="BK11" s="10"/>
      <c r="BT11" s="46"/>
      <c r="BY11" s="10"/>
      <c r="BZ11" s="10"/>
      <c r="CA11" s="24"/>
      <c r="CG11" s="27"/>
      <c r="CH11" s="23"/>
      <c r="CN11" s="23"/>
      <c r="CO11" s="27"/>
      <c r="CP11" s="28"/>
    </row>
    <row r="12" spans="1:94" s="19" customFormat="1" ht="10.199999999999999" x14ac:dyDescent="0.2">
      <c r="G12" s="20"/>
      <c r="H12" s="21"/>
      <c r="L12" s="20"/>
      <c r="M12" s="20"/>
      <c r="N12" s="21"/>
      <c r="O12" s="8"/>
      <c r="Q12" s="38"/>
      <c r="R12" s="39"/>
      <c r="S12" s="39"/>
      <c r="T12" s="10"/>
      <c r="U12" s="10"/>
      <c r="V12" s="10"/>
      <c r="W12" s="10"/>
      <c r="AG12" s="10"/>
      <c r="AM12" s="10"/>
      <c r="AR12" s="23"/>
      <c r="AS12" s="30"/>
      <c r="AU12" s="20"/>
      <c r="AV12" s="42"/>
      <c r="AW12" s="31"/>
      <c r="AX12" s="31"/>
      <c r="BK12" s="10"/>
      <c r="BT12" s="46"/>
      <c r="BX12" s="14"/>
      <c r="BY12" s="10"/>
      <c r="BZ12" s="10"/>
      <c r="CA12" s="24"/>
      <c r="CG12" s="27"/>
      <c r="CH12" s="23"/>
      <c r="CN12" s="23"/>
      <c r="CO12" s="27"/>
      <c r="CP12" s="28"/>
    </row>
    <row r="13" spans="1:94" s="19" customFormat="1" ht="10.199999999999999" x14ac:dyDescent="0.2">
      <c r="G13" s="20"/>
      <c r="H13" s="21"/>
      <c r="L13" s="20"/>
      <c r="M13" s="20"/>
      <c r="N13" s="21"/>
      <c r="O13" s="8"/>
      <c r="Q13" s="38"/>
      <c r="R13" s="39"/>
      <c r="S13" s="39"/>
      <c r="T13" s="10"/>
      <c r="U13" s="10"/>
      <c r="V13" s="10"/>
      <c r="W13" s="10"/>
      <c r="AG13" s="10"/>
      <c r="AM13" s="10"/>
      <c r="AR13" s="10"/>
      <c r="AS13" s="22"/>
      <c r="AU13" s="20"/>
      <c r="AV13" s="29"/>
      <c r="AW13" s="10"/>
      <c r="AX13" s="10"/>
      <c r="BK13" s="10"/>
      <c r="BT13" s="46"/>
      <c r="BX13" s="14"/>
      <c r="BY13" s="10"/>
      <c r="BZ13" s="10"/>
      <c r="CA13" s="24"/>
      <c r="CG13" s="27"/>
      <c r="CH13" s="23"/>
      <c r="CN13" s="23"/>
      <c r="CO13" s="27"/>
      <c r="CP13" s="28"/>
    </row>
    <row r="14" spans="1:94" s="19" customFormat="1" ht="10.199999999999999" x14ac:dyDescent="0.2">
      <c r="G14" s="20"/>
      <c r="H14" s="21"/>
      <c r="L14" s="20"/>
      <c r="M14" s="20"/>
      <c r="N14" s="21"/>
      <c r="O14" s="8"/>
      <c r="Q14" s="38"/>
      <c r="R14" s="39"/>
      <c r="S14" s="39"/>
      <c r="T14" s="10"/>
      <c r="U14" s="10"/>
      <c r="V14" s="10"/>
      <c r="W14" s="10"/>
      <c r="AG14" s="10"/>
      <c r="AM14" s="10"/>
      <c r="AR14" s="23"/>
      <c r="AS14" s="30"/>
      <c r="AU14" s="20"/>
      <c r="AV14" s="42"/>
      <c r="AW14" s="31"/>
      <c r="AX14" s="31"/>
      <c r="BK14" s="10"/>
      <c r="BT14" s="46"/>
      <c r="BX14" s="14"/>
      <c r="BY14" s="10"/>
      <c r="BZ14" s="10"/>
      <c r="CA14" s="24"/>
      <c r="CB14" s="23"/>
      <c r="CD14" s="14"/>
      <c r="CF14" s="18"/>
      <c r="CG14" s="27"/>
      <c r="CH14" s="23"/>
      <c r="CI14" s="27"/>
      <c r="CJ14" s="24"/>
      <c r="CK14" s="28"/>
      <c r="CN14" s="23"/>
      <c r="CO14" s="27"/>
      <c r="CP14" s="28"/>
    </row>
    <row r="15" spans="1:94" s="14" customFormat="1" ht="10.199999999999999" x14ac:dyDescent="0.2">
      <c r="H15" s="32"/>
      <c r="N15" s="32"/>
      <c r="Q15" s="9"/>
      <c r="T15" s="9"/>
      <c r="U15" s="9"/>
      <c r="V15" s="9"/>
      <c r="W15" s="9"/>
      <c r="AG15" s="9"/>
      <c r="AM15" s="9"/>
      <c r="AR15" s="9"/>
      <c r="AS15" s="30"/>
      <c r="AV15" s="23"/>
      <c r="AW15" s="9"/>
      <c r="AX15" s="9"/>
      <c r="BB15" s="19"/>
      <c r="BC15" s="19"/>
      <c r="BD15" s="19"/>
      <c r="BE15" s="19"/>
      <c r="BJ15" s="19"/>
      <c r="BK15" s="9"/>
      <c r="BL15" s="9"/>
      <c r="BP15" s="19"/>
      <c r="BW15" s="19"/>
      <c r="BY15" s="9"/>
      <c r="BZ15" s="9"/>
    </row>
    <row r="16" spans="1:94" s="14" customFormat="1" ht="10.199999999999999" x14ac:dyDescent="0.2">
      <c r="H16" s="32"/>
      <c r="N16" s="32"/>
      <c r="Q16" s="9"/>
      <c r="T16" s="9"/>
      <c r="U16" s="9"/>
      <c r="V16" s="9"/>
      <c r="W16" s="9"/>
      <c r="AG16" s="9"/>
      <c r="AM16" s="9"/>
      <c r="AP16" s="9"/>
      <c r="AQ16" s="9"/>
      <c r="AR16" s="9"/>
      <c r="AS16" s="30"/>
      <c r="AV16" s="23"/>
      <c r="AW16" s="9"/>
      <c r="AX16" s="9"/>
      <c r="BB16" s="19"/>
      <c r="BC16" s="19"/>
      <c r="BD16" s="19"/>
      <c r="BE16" s="19"/>
      <c r="BK16" s="9"/>
      <c r="BL16" s="9"/>
    </row>
    <row r="17" spans="6:79" s="14" customFormat="1" ht="10.199999999999999" x14ac:dyDescent="0.2">
      <c r="H17" s="32"/>
      <c r="N17" s="32"/>
      <c r="Q17" s="9"/>
      <c r="T17" s="9"/>
      <c r="U17" s="9"/>
      <c r="V17" s="9"/>
      <c r="W17" s="9"/>
      <c r="AG17" s="9"/>
      <c r="AM17" s="9"/>
      <c r="AP17" s="9"/>
      <c r="AQ17" s="9"/>
      <c r="AR17" s="9"/>
      <c r="AS17" s="30"/>
      <c r="AT17" s="47"/>
      <c r="AV17" s="23"/>
      <c r="AW17" s="9"/>
      <c r="AX17" s="43"/>
      <c r="BB17" s="19"/>
      <c r="BC17" s="19"/>
      <c r="BD17" s="19"/>
      <c r="BE17" s="19"/>
      <c r="BJ17" s="19"/>
      <c r="BK17" s="9"/>
      <c r="BL17" s="9"/>
      <c r="BP17" s="19"/>
      <c r="BX17" s="33"/>
    </row>
    <row r="18" spans="6:79" s="14" customFormat="1" x14ac:dyDescent="0.25">
      <c r="F18" s="14">
        <v>0.49</v>
      </c>
      <c r="H18" s="21">
        <f>-8033*LN(F18/100)</f>
        <v>42723.67175336201</v>
      </c>
      <c r="N18" s="32"/>
      <c r="Q18" s="9"/>
      <c r="T18" s="9"/>
      <c r="U18" s="9"/>
      <c r="V18" s="9"/>
      <c r="W18" s="9"/>
      <c r="AG18" s="9"/>
      <c r="AM18" s="9"/>
      <c r="AP18" s="9"/>
      <c r="AQ18" s="9"/>
      <c r="AR18" s="9"/>
      <c r="AS18" s="30"/>
      <c r="AT18" s="44"/>
      <c r="AV18" s="23"/>
      <c r="AW18" s="9"/>
      <c r="AX18" s="9"/>
      <c r="BB18" s="19"/>
      <c r="BC18" s="19"/>
      <c r="BD18" s="19"/>
      <c r="BE18" s="19"/>
      <c r="BJ18" s="19"/>
      <c r="BK18" s="9"/>
      <c r="BL18" s="9"/>
      <c r="BP18" s="19"/>
      <c r="BX18"/>
    </row>
    <row r="19" spans="6:79" s="14" customFormat="1" x14ac:dyDescent="0.25">
      <c r="H19" s="23"/>
      <c r="N19" s="32"/>
      <c r="Q19" s="9"/>
      <c r="T19" s="9"/>
      <c r="U19" s="9"/>
      <c r="V19" s="9"/>
      <c r="W19" s="9"/>
      <c r="AG19" s="9"/>
      <c r="AM19" s="9"/>
      <c r="AP19" s="9"/>
      <c r="AQ19" s="9"/>
      <c r="AR19" s="9"/>
      <c r="AS19" s="30"/>
      <c r="AT19"/>
      <c r="AV19" s="23"/>
      <c r="AW19" s="9"/>
      <c r="AX19" s="9"/>
      <c r="BB19" s="19"/>
      <c r="BC19" s="19"/>
      <c r="BD19" s="19"/>
      <c r="BE19" s="19"/>
      <c r="BJ19" s="19"/>
      <c r="BK19" s="9"/>
      <c r="BL19" s="9"/>
      <c r="BP19" s="19"/>
      <c r="BX19"/>
    </row>
    <row r="20" spans="6:79" s="14" customFormat="1" x14ac:dyDescent="0.25">
      <c r="H20" s="32"/>
      <c r="N20" s="32"/>
      <c r="Q20" s="9"/>
      <c r="T20" s="9"/>
      <c r="U20" s="9"/>
      <c r="V20" s="9"/>
      <c r="W20" s="9"/>
      <c r="AG20" s="9"/>
      <c r="AM20" s="9"/>
      <c r="AP20" s="9"/>
      <c r="AQ20" s="9"/>
      <c r="AR20" s="9"/>
      <c r="AS20" s="30"/>
      <c r="AV20" s="23"/>
      <c r="AW20" s="9"/>
      <c r="AX20" s="9"/>
      <c r="BB20" s="19"/>
      <c r="BC20" s="19"/>
      <c r="BD20" s="19"/>
      <c r="BJ20" s="19"/>
      <c r="BK20" s="9"/>
      <c r="BL20" s="9"/>
      <c r="BP20" s="19"/>
      <c r="BX20"/>
    </row>
    <row r="21" spans="6:79" s="14" customFormat="1" x14ac:dyDescent="0.25">
      <c r="H21" s="32"/>
      <c r="N21" s="32"/>
      <c r="Q21" s="9"/>
      <c r="T21" s="9"/>
      <c r="U21" s="9"/>
      <c r="V21" s="9"/>
      <c r="W21" s="9"/>
      <c r="AG21" s="9"/>
      <c r="AM21" s="9"/>
      <c r="AP21" s="9"/>
      <c r="AQ21" s="9"/>
      <c r="AR21" s="9"/>
      <c r="AS21" s="30"/>
      <c r="AV21" s="23"/>
      <c r="AW21" s="9"/>
      <c r="AX21" s="9"/>
      <c r="BB21" s="19"/>
      <c r="BC21" s="19"/>
      <c r="BD21" s="19"/>
      <c r="BJ21" s="19"/>
      <c r="BK21" s="9"/>
      <c r="BL21" s="9"/>
      <c r="BP21" s="19"/>
      <c r="BX21"/>
    </row>
    <row r="22" spans="6:79" s="33" customFormat="1" x14ac:dyDescent="0.25">
      <c r="G22" s="20"/>
      <c r="H22" s="21"/>
      <c r="L22" s="20"/>
      <c r="M22" s="20"/>
      <c r="N22" s="21"/>
      <c r="Q22" s="34"/>
      <c r="R22" s="20"/>
      <c r="S22" s="20"/>
      <c r="T22" s="10"/>
      <c r="U22" s="10"/>
      <c r="V22" s="10"/>
      <c r="W22" s="10"/>
      <c r="AG22" s="35"/>
      <c r="AM22" s="35"/>
      <c r="AP22" s="35"/>
      <c r="AQ22" s="35"/>
      <c r="AR22" s="35"/>
      <c r="AS22" s="36"/>
      <c r="AU22" s="20"/>
      <c r="AV22" s="37"/>
      <c r="AW22" s="35"/>
      <c r="AX22" s="35"/>
      <c r="BB22" s="19"/>
      <c r="BC22" s="19"/>
      <c r="BD22" s="19"/>
      <c r="BE22" s="14"/>
      <c r="BJ22" s="19"/>
      <c r="BK22" s="35"/>
      <c r="BL22" s="35"/>
      <c r="BP22" s="19"/>
      <c r="BX22"/>
      <c r="BY22" s="35"/>
      <c r="BZ22" s="35"/>
      <c r="CA22" s="24"/>
    </row>
    <row r="23" spans="6:79" x14ac:dyDescent="0.25">
      <c r="BB23" s="19"/>
      <c r="BC23" s="19"/>
      <c r="BD23" s="19"/>
      <c r="BE23" s="14"/>
      <c r="BJ23" s="4"/>
      <c r="BP23" s="4"/>
    </row>
    <row r="24" spans="6:79" x14ac:dyDescent="0.25">
      <c r="BB24" s="19">
        <v>0.16</v>
      </c>
      <c r="BC24" s="19">
        <v>0.48</v>
      </c>
      <c r="BD24" s="19">
        <v>1.5</v>
      </c>
      <c r="BE24" s="14"/>
      <c r="BJ24" s="4"/>
      <c r="BP24" s="4"/>
    </row>
    <row r="25" spans="6:79" x14ac:dyDescent="0.25">
      <c r="BB25" s="14"/>
      <c r="BC25" s="14"/>
      <c r="BD25" s="19"/>
      <c r="BE25" s="14"/>
      <c r="BJ25" s="4"/>
      <c r="BP25" s="4"/>
    </row>
    <row r="26" spans="6:79" x14ac:dyDescent="0.25">
      <c r="BB26" s="14"/>
      <c r="BC26" s="14"/>
      <c r="BD26" s="14"/>
      <c r="BE26" s="14"/>
      <c r="BJ26" s="4"/>
      <c r="BP26" s="4"/>
    </row>
    <row r="27" spans="6:79" x14ac:dyDescent="0.25">
      <c r="BB27" s="14"/>
      <c r="BC27" s="14"/>
      <c r="BD27" s="14"/>
      <c r="BE27" s="33"/>
      <c r="BJ27" s="4"/>
      <c r="BP27" s="4"/>
    </row>
    <row r="28" spans="6:79" x14ac:dyDescent="0.25">
      <c r="BB28" s="14"/>
      <c r="BC28" s="14"/>
      <c r="BD28" s="14"/>
      <c r="BJ28" s="4"/>
      <c r="BP28" s="4"/>
    </row>
    <row r="29" spans="6:79" x14ac:dyDescent="0.25">
      <c r="BB29" s="14"/>
      <c r="BC29" s="14"/>
      <c r="BD29" s="14"/>
      <c r="BJ29" s="4"/>
      <c r="BP29" s="4"/>
    </row>
    <row r="30" spans="6:79" x14ac:dyDescent="0.25">
      <c r="BB30" s="14"/>
      <c r="BC30" s="14"/>
      <c r="BD30" s="14"/>
      <c r="BJ30" s="4"/>
      <c r="BP30" s="4"/>
    </row>
    <row r="31" spans="6:79" x14ac:dyDescent="0.25">
      <c r="BB31" s="14"/>
      <c r="BC31" s="14"/>
      <c r="BD31" s="14"/>
      <c r="BJ31" s="4"/>
      <c r="BP31" s="4"/>
    </row>
    <row r="32" spans="6:79" x14ac:dyDescent="0.25">
      <c r="BB32" s="33"/>
      <c r="BC32" s="33"/>
      <c r="BD32" s="33">
        <v>-52</v>
      </c>
      <c r="BJ32" s="4"/>
      <c r="BP32" s="4"/>
    </row>
  </sheetData>
  <phoneticPr fontId="7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Chau3-dcp </vt:lpstr>
      <vt:lpstr>Chau3(dcp=10)</vt:lpstr>
      <vt:lpstr>Chau3 (dcp corr)</vt:lpstr>
      <vt:lpstr>GR-Conv.</vt:lpstr>
      <vt:lpstr>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Dominique GENTY</cp:lastModifiedBy>
  <cp:lastPrinted>2001-12-06T13:37:46Z</cp:lastPrinted>
  <dcterms:created xsi:type="dcterms:W3CDTF">1998-06-19T12:42:38Z</dcterms:created>
  <dcterms:modified xsi:type="dcterms:W3CDTF">2023-07-17T10:06:37Z</dcterms:modified>
</cp:coreProperties>
</file>